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03月" sheetId="1" r:id="rId4"/>
    <sheet state="visible" name="工作表1" sheetId="2" r:id="rId5"/>
    <sheet state="visible" name="工作表4" sheetId="3" r:id="rId6"/>
  </sheets>
  <definedNames/>
  <calcPr/>
  <extLst>
    <ext uri="GoogleSheetsCustomDataVersion2">
      <go:sheetsCustomData xmlns:go="http://customooxmlschemas.google.com/" r:id="rId7" roundtripDataChecksum="Xikzft158z7xWrcjeCbda2kTUQrKxgbLfajPAq1kewg="/>
    </ext>
  </extLst>
</workbook>
</file>

<file path=xl/sharedStrings.xml><?xml version="1.0" encoding="utf-8"?>
<sst xmlns="http://schemas.openxmlformats.org/spreadsheetml/2006/main" count="1229" uniqueCount="156">
  <si>
    <r>
      <rPr>
        <rFont val="細明體"/>
        <b/>
        <color theme="1"/>
        <sz val="18.0"/>
      </rPr>
      <t>台灣熊跑山俱樂部</t>
    </r>
    <r>
      <rPr>
        <rFont val="Arial"/>
        <b/>
        <color theme="1"/>
        <sz val="18.0"/>
      </rPr>
      <t>2024</t>
    </r>
    <r>
      <rPr>
        <rFont val="細明體"/>
        <b/>
        <color theme="1"/>
        <sz val="18.0"/>
      </rPr>
      <t xml:space="preserve">年度收支明細表
</t>
    </r>
  </si>
  <si>
    <t>跑步資訊</t>
  </si>
  <si>
    <t>當週收入</t>
  </si>
  <si>
    <t>當週支出</t>
  </si>
  <si>
    <t>跑次</t>
  </si>
  <si>
    <t>日期</t>
  </si>
  <si>
    <t>地點</t>
  </si>
  <si>
    <t>收入項目</t>
  </si>
  <si>
    <t>金額</t>
  </si>
  <si>
    <t>人數</t>
  </si>
  <si>
    <r>
      <rPr>
        <rFont val="Arial"/>
        <b/>
        <color theme="1"/>
        <sz val="14.0"/>
      </rPr>
      <t xml:space="preserve">報到收入
</t>
    </r>
    <r>
      <rPr>
        <rFont val="Arial"/>
        <b/>
        <color rgb="FFFF0000"/>
        <sz val="14.0"/>
      </rPr>
      <t>(自動計算)</t>
    </r>
  </si>
  <si>
    <t>支出項目</t>
  </si>
  <si>
    <t>支出金額</t>
  </si>
  <si>
    <t>本週收入-支出</t>
  </si>
  <si>
    <t>淡水</t>
  </si>
  <si>
    <t>上週結餘</t>
  </si>
  <si>
    <t>男</t>
  </si>
  <si>
    <t>週報</t>
  </si>
  <si>
    <t>女</t>
  </si>
  <si>
    <t>財報</t>
  </si>
  <si>
    <t>小孩</t>
  </si>
  <si>
    <t>免子麵粉補助</t>
  </si>
  <si>
    <t>本週結餘</t>
  </si>
  <si>
    <t>童</t>
  </si>
  <si>
    <t>水車車資</t>
  </si>
  <si>
    <t>補跑次(男)</t>
  </si>
  <si>
    <t>酒水飲料</t>
  </si>
  <si>
    <t>補跑次(女）</t>
  </si>
  <si>
    <t>其他支出1</t>
  </si>
  <si>
    <t>其他收入1</t>
  </si>
  <si>
    <t>其他支出2</t>
  </si>
  <si>
    <t>其他收入2</t>
  </si>
  <si>
    <t>其他支出3</t>
  </si>
  <si>
    <t>收入合計</t>
  </si>
  <si>
    <t>支出合計</t>
  </si>
  <si>
    <t>備註說明</t>
  </si>
  <si>
    <t>兔子麵粉補助：2男。                                                                                                            其他支出1:花生700.葡萄乾180.餅乾450.紅豆600.紫米60.糖漿40.冰60.粉筆95.杯子280.等$2465。                                                                                                                                                    其他支出2:添油香錢（玄聖宮)1200.自購外套2件2100.等$3300.</t>
  </si>
  <si>
    <t>石碇</t>
  </si>
  <si>
    <t>兔子麵粉補助：2男。                                                                                                            其他支出1:花生600.葡萄乾90.餅乾180.紅豆600.紫米60.糖漿40.冰180.等$1750。                                                                                                                                                    其他支出2:添油香錢（聖福宮）1200.清能夫人花籃2000等$3200</t>
  </si>
  <si>
    <t>木柵</t>
  </si>
  <si>
    <t>兔子麵粉補助：2男。                                                                                                            其他支出1:花生700.葡萄乾90.餅乾360.紅豆600.紫米60.糖漿40.冰60.黑糖70.等$1980。                                                                                                                                                    其他支出2:金紙45.黑管6尺420.黑管10尺375.2月慶生蛋糕2200.等$3040</t>
  </si>
  <si>
    <t>龜山</t>
  </si>
  <si>
    <t>其他收入1-花生</t>
  </si>
  <si>
    <t>其他收入2-外套</t>
  </si>
  <si>
    <t>兔子麵粉補助：2男。                                                                                                            其他支出1:花生 葡萄乾180.餅乾360.紅豆600.紫米60.糖漿40.冰180.等$1420。                                                                                                                                                    其他支出2:場地費-旨雲宮香油錢1200.巧克力糖果699等$1899</t>
  </si>
  <si>
    <t>南港</t>
  </si>
  <si>
    <t>其他收入1-金桶</t>
  </si>
  <si>
    <t>兔子麵粉補助：2男。                                                                                                            其他支出1:花生1400.葡萄乾270.餅乾540.紅豆 紫米 糖漿  冰60.粉筆95.杯杯180.等$2545。                                                                                                                                                      其他支出2:千次獎座$3400</t>
  </si>
  <si>
    <t>土城</t>
  </si>
  <si>
    <t xml:space="preserve">兔子麵粉補助：2男。                                                                                                            其他支出1:花生700.葡萄乾270.餅乾630.紅豆600.紫米60.糖漿40.冰180.等$2480。                                                                                                                                                    </t>
  </si>
  <si>
    <t>雙溪</t>
  </si>
  <si>
    <t xml:space="preserve">兔子麵粉補助：2男。                                                                                                            其他支出1:花生700.葡萄乾180.餅乾450.薑母汁650.地瓜360.糖漿50.冰60.粉筆80.紙杯180.等$2710。                                                                                                                                                    </t>
  </si>
  <si>
    <t>文山</t>
  </si>
  <si>
    <t>兔子麵粉補助：2男。                                                                                                            其他支出1:花生600.葡萄乾360.餅乾450.紅豆600.紫米60.糖漿40.冰60.等$2170。                                                                                                                                                    其他支出2:金紙45.元月蛋糕2200.12/28停車費（紅衣特跑）240等$2485。</t>
  </si>
  <si>
    <t>西門</t>
  </si>
  <si>
    <t xml:space="preserve">兔子麵粉補助：2女。                                                                                                            其他支出1:花生800.葡萄乾90.餅乾270.紅豆紫米糖漿冰60.等$1220。                                                                                                                                                    </t>
  </si>
  <si>
    <t>汐止</t>
  </si>
  <si>
    <t xml:space="preserve">兔子麵粉補助：2男。                                                                                                            其他支出1:花生700.葡萄乾180.餅乾450.紅豆600.紫米60.糖漿40.冰60.湯圓320.粉筆80.金紙45.等$2535。                                                                                                                                                    </t>
  </si>
  <si>
    <t>三峽</t>
  </si>
  <si>
    <t xml:space="preserve">兔子麵粉補助：2男。                                                                                                            其他支出1:花生600.葡萄乾180.餅乾450.紅豆600.紫米60.糖漿40.冰60.瓦斯375.紙杯（170杯)180.垃圾袋100.等$2645。                                                                                                                       其他支出2:得安宮香油錢$1200。                                                                                         </t>
  </si>
  <si>
    <t>松山</t>
  </si>
  <si>
    <t>其他收入1:花生</t>
  </si>
  <si>
    <t xml:space="preserve">兔子麵粉補助：2男。                                                                                                            其他支出1:花生800.葡萄乾180.餅乾90.紅豆600.紫米60.糖漿40.冰180.等$1950。                                                                                                                       其他支出2:12月慶生蛋糕1980.松山慈惠堂香油錢1200等$3180。                                                                                         </t>
  </si>
  <si>
    <t>蘭潭特跑</t>
  </si>
  <si>
    <t>蘆竹</t>
  </si>
  <si>
    <t xml:space="preserve">兔子麵粉補助：2男。                                                                                                            其他支出1:花生800.葡萄乾90.餅乾540.紅豆600.紫米60.糖漿40.冰180.等共$2670。                                                                                                                                      其他支出2:金紙45.粉筆80.等共$125。                                                                                          </t>
  </si>
  <si>
    <t>大溪桃園</t>
  </si>
  <si>
    <t xml:space="preserve">兔子麵粉補助：3男1女。                                                                                                            其他支出1:花生800.葡萄乾90.餅乾540.綠豆180.薏仁40.糖漿40.冰4660.杯子180.金紙45.等$2485。                                                                                                                                      其他支出2:香油錢(陳五常宗祠)$1200。兔子贊助會旗/會場旗幟/氣球/卡拉OK/跑步禮物/義工禮物/絲巾/開罐器/麻糬。                                                                                          </t>
  </si>
  <si>
    <t>大溪</t>
  </si>
  <si>
    <t>兔子麵粉補助：1男1女。                                                                                                            其他支出1:花生1000.葡萄乾270.餅乾540.綠豆180.薏仁40.糖漿40.冰420.金紙45.免洗杯180.清潔袋100.等$2815。                                                                                                                       其他支出2:果仁、竹鹽餅$1050。                                                                                          其他支出3:1000水晶獎牌製作$3400。兔子贊助背包/毛巾/蛋糕。</t>
  </si>
  <si>
    <t xml:space="preserve">兔子麵粉補助：2女。                                                                                                            其他支出1:花生800.葡萄乾270.餅乾900.綠豆180.薏仁40.糖漿40.冰300.粉筆80.等$2610。其他支出2: 場地費(振天宮香油錢)1200.11月蛋糕1980.等$3180。                                               其他支出3:兔子跑衣$11680。
</t>
  </si>
  <si>
    <t>兔子麵粉補助：2男。                                                                                                            其他支出1:花生800.葡萄乾180.餅乾180.綠豆180.薏仁40.糖漿40.冰420.金紙45.等$1885。                                                                                                                                          其他支出2: 玟媛母親花籃$2000。</t>
  </si>
  <si>
    <t>兔子麵粉補助：1男1女。                                                                                                            其他支出1:花生800.葡萄乾180.餅乾270.綠豆180.薏仁40.糖漿40.冰420等$1930。                                                                                                                       其他支出2:快樂兔棟爸花籃2000</t>
  </si>
  <si>
    <t>新埔</t>
  </si>
  <si>
    <t>兔子麵粉補助：2男。                                                                                                            其他支出1:花生800.葡萄乾90.餅乾270.綠豆180.薏仁40.糖漿40.冰300等$1720。                                                                                                                       其他支出2:補宜蘭跑衣$2300</t>
  </si>
  <si>
    <t>烏來</t>
  </si>
  <si>
    <t xml:space="preserve">兔子麵粉補助：2男。                                                                                                            其他支出1:花生800.葡萄乾270.餅乾360.仙草550.冰420.糖漿80.紙杯180.等$2480。                                                                                                                       其他支出2:保慶宮香油錢1200.10月份蛋糕1980.等$3180.    </t>
  </si>
  <si>
    <t xml:space="preserve">兔子麵粉補助：1男1女。                                                                                                            其他支出1:花生600.葡萄乾180.餅乾585.仙草550.冰540.糖漿80.等$2535。                                                                                                                 </t>
  </si>
  <si>
    <t>瑞芳</t>
  </si>
  <si>
    <t xml:space="preserve">兔子麵粉補助：2男。                                                                                                            其他支出1:花生800.葡萄乾90.餅乾450.仙草660.冰600.糖漿80.等$2680。                                                                                                                 </t>
  </si>
  <si>
    <t>其他收入1花生</t>
  </si>
  <si>
    <t>兔子麵粉補助：1男1女。                                                                                                            其他支出1:花生600.葡萄乾90.餅乾360.仙草660.冰600.糖漿80.塑膠杯180.垃圾袋50.粉筆80.金紙45等$2745。                                                                                                                 其他支出2:場地費(香油錢)1200</t>
  </si>
  <si>
    <t>林口</t>
  </si>
  <si>
    <t>兔子麵粉補助：1男1女。                                                                                                            其他支出1:花生800.葡萄乾270.餅乾315.仙草660.冰600.糖漿80.等$2725。                                            其他支出2:9月蛋糕1980.場地費(福德宮香油錢)1200.李采羚父親花籃3000共$6180</t>
  </si>
  <si>
    <t>兔子麵粉補助：2男。                                                                                                            其他支出1:花生800.葡萄乾180.餅乾495.仙草660.冰600.糖漿80.等$2815。                                            其他支出2:場地費(拱北殿香油錢)$1200</t>
  </si>
  <si>
    <t>士林</t>
  </si>
  <si>
    <t xml:space="preserve">兔子麵粉補助：1男1女。                                                                                                            其他支出1:花生800.葡萄乾180.餅乾540.仙草660.冰600.糖漿80.杯子180等$3040。                                            </t>
  </si>
  <si>
    <t>其他收入1 花生</t>
  </si>
  <si>
    <t>兔子麵粉補助：2女。                                                                                                            其他支出1:花生600.葡萄乾90.仙草660.冰600.糖漿80.金紙45等$2075。                                            
其他支出2:水果、三牲9400.餅乾2600.金燭、金紙用品2414等$14414</t>
  </si>
  <si>
    <t>龍潭</t>
  </si>
  <si>
    <t xml:space="preserve">兔子麵粉補助：1男1女。                                                                                                            其他支出1:花生800.葡萄乾90.餅乾270.仙草660.冰600.糖漿80..粉筆80.金紙45等$2625。                                            
                                                                </t>
  </si>
  <si>
    <t xml:space="preserve">兔子麵粉補助：1男1女。                                                                                                            其他支出1:花生800.葡萄乾90.餅乾270.仙草660.冰600.糖漿80.等$2600。                                            其他支出2:8月份蛋糕1980.聚福宮香油錢600等$2580
                                                                </t>
  </si>
  <si>
    <t>其他收入1 賣花生</t>
  </si>
  <si>
    <t xml:space="preserve">兔子麵粉補助：2男。                                                                                                            其他支出1:花生600.葡萄乾180.餅乾270.仙草660.冰600.糖漿80.金紙45.紙杯180等$2615。                                            其他支出2:汽車貼紙500張$5100
                                                                </t>
  </si>
  <si>
    <t xml:space="preserve">免子麵粉補助: 2男
其他支出1:花生500.仙草660.冰600.糖漿80.粉筆80等$1920。                                            其他支出2:開瓶器300個9000.哨子300個2700等$11700
                                                                                    </t>
  </si>
  <si>
    <t>頭城農場</t>
  </si>
  <si>
    <t>頭城農場場租+卡拉OK</t>
  </si>
  <si>
    <t>珈禎贊助</t>
  </si>
  <si>
    <t>江一平(兔子)贊助</t>
  </si>
  <si>
    <t xml:space="preserve">免子麵粉補助: 1男1女
其他支出1:花生800.餅乾糖果2777.水果1410.杯子.盤子.桶子400等$5387。                        其他支出2:遊覽車23000.保險6286.午餐+晚餐84300.場地費(頭城)5000等$118586。          其他支出3:贈品衣服132x@230.設計費3000.樣衣@330x3等$34350
                                                           </t>
  </si>
  <si>
    <t xml:space="preserve">免子麵粉補助: 1男1女
其他支出1:花生1000.葡萄乾180.餅乾900.仙草660.冰600.糖漿80等$3420。                        其他支出2:場地費(四面佛)1200.7月慶生蛋糕1980等$3180
                                                                                    </t>
  </si>
  <si>
    <t>貢寮</t>
  </si>
  <si>
    <t xml:space="preserve">免子麵粉補助: 1男1女
其他支出1:花生720.葡萄乾90.餅乾315.仙草660.冰600.糖漿80等$2465
                                                                                    </t>
  </si>
  <si>
    <t>免子麵粉補助: 1男1女
其他支出1:花生720.葡萄乾180.餅乾315.仙草660.冰600.糖漿80等$2565
其他支出2: 冰箱一只$3999                                                                                                   其他支出3:健龍冰箱付$2000</t>
  </si>
  <si>
    <t xml:space="preserve">免子麵粉補助: 2男
其他支出1:花生720.葡萄乾270.餅乾450.仙草660.冰600.糖漿80.杯子180.粉筆80等$3040
其他支出2: 旨雲宮添油錢$1200                  </t>
  </si>
  <si>
    <t>三芝</t>
  </si>
  <si>
    <t xml:space="preserve">免子麵粉補助: 1男1女
其他支出1:花生630.葡萄乾90.餅乾270.仙草660.冰480.糖漿80等$2210
其他支出2: 場地費（添香油錢)$1200                  </t>
  </si>
  <si>
    <t>石門</t>
  </si>
  <si>
    <t xml:space="preserve">免子麵粉補助: 2男
其他支出1:花生900.葡萄乾270.餅乾495.仙草660.冰470.糖80等$2875
其他支出2: 6月份蛋糕$1980                      </t>
  </si>
  <si>
    <t>北投</t>
  </si>
  <si>
    <t xml:space="preserve">免子麵粉補助: 1男1女
其他支出1:花生900.葡萄乾90.餅乾540.仙草660.冰470.糖80等$2740
其他支出2: 電池$178(麥克風用).長尾夾$77.修正帶$29.掛勾$15.橡皮筋$25等$324                                                                </t>
  </si>
  <si>
    <t>桃園霞雲坪</t>
  </si>
  <si>
    <t>預繳男</t>
  </si>
  <si>
    <t>預繳女</t>
  </si>
  <si>
    <t>水車車資+晚餐</t>
  </si>
  <si>
    <t>副兔贊助</t>
  </si>
  <si>
    <t>免子麵粉補助: 1男1女
其他支出1:花生.葡萄乾.餅乾.仙草.冰.糖.杯子.粉筆等$3195
其他支出2: 晚宴$40000.便當$10800等$50800.車資$34000.保險$6195等$40195                                                                                 其他支出3: 場地費$1200.廖震宇4/30花籃$2000等$3200</t>
  </si>
  <si>
    <t>基隆</t>
  </si>
  <si>
    <t>其他贊助</t>
  </si>
  <si>
    <t xml:space="preserve">免子麵粉補助: 1男1女
其他支出1:花生.葡萄乾.餅乾等$2070，仙草$660.糖80.碎冰470等 $1210
其他支出2: 金紙$45.藥品(彈性繃帶.蜂叮藥.生理食鹽水等)$210                                                                                     </t>
  </si>
  <si>
    <t xml:space="preserve">免子麵粉補助: 2男
其他支出1:花生.葡萄乾.餅乾等$2070，仙草$660.糖80.碎冰470等 $1210
其他支出2: 5月慶生蛋糕$1980，雜費$6800                                                                                         </t>
  </si>
  <si>
    <t>AIR特跑苗栗</t>
  </si>
  <si>
    <t>自駕</t>
  </si>
  <si>
    <t>免子麵粉補助: 
其他支出1:遊覽車2部@13000共$26000
其他支出2:新竹捷兔主辦@1100x70人                                                                                            其他支出3:1000次獎牌$3400</t>
  </si>
  <si>
    <t xml:space="preserve">免子麵粉補助: 1男1女
其他支出1:花生.葡萄乾.餅乾等$1485，仙草$660.糖80.碎冰470.粉筆80.停車費50等 $1340
其他支出2: 場地費$1200                                                                                         </t>
  </si>
  <si>
    <t xml:space="preserve">免子麵粉補助: 2男
其他支出1:花生.葡萄乾.餅乾等$1，935，塑膠袋$180.垃圾袋$50.碎冰$290等 $565
其他支出2: 三色手環$200x6包.運費$30                                                                                                    </t>
  </si>
  <si>
    <t xml:space="preserve">免子麵粉補助: 2男
其他支出1:花生.葡萄乾.餅乾等$2,115 綠豆.薏仁.砂糖.碎冰等 $565
其他支出2: 蛋糕$1980.活動中心$1,200                                                                                                    </t>
  </si>
  <si>
    <t xml:space="preserve">免子麵粉補助: 1男.1女
其他支出1:花生.葡萄乾.餅乾等$1,080 綠豆.薏仁.砂糖.碎冰.粉筆.金紙等 $690
其他支出2: 應天宮香火$1,200                                                                                                       </t>
  </si>
  <si>
    <t>八里</t>
  </si>
  <si>
    <t>千次獎牌</t>
  </si>
  <si>
    <t>年會海報</t>
  </si>
  <si>
    <t>兔子禮</t>
  </si>
  <si>
    <t xml:space="preserve">免子麵粉補助: 1男.1女
其他支出1:花生.葡萄乾.餅乾等$1,800 綠豆.薏仁.糖.碎冰等 $610
其他支出2: 小喇叭零件，音響材料$1,800                                                                                                       </t>
  </si>
  <si>
    <t xml:space="preserve">免子麵粉補助: 2男
其他支出1:花生.葡萄乾.餅乾等$1,665 綠豆.薏仁.糖.碎冰等 $445
其他支出2: 網站$4,537.網域$999                                                                                                              </t>
  </si>
  <si>
    <t>桃園</t>
  </si>
  <si>
    <t xml:space="preserve">免子麵粉補助: 2男
其他支出1:紅豆.糖.碎冰.瓦斯.金紙.粉筆等 $1535 
其他支出2:                                                                                                               </t>
  </si>
  <si>
    <t>年會</t>
  </si>
  <si>
    <t>板橋</t>
  </si>
  <si>
    <t xml:space="preserve">免子麵粉補助: 2男
其他支出1: 兔子禮紙袋 $360
其他支出2: 蛋糕 $4280                                                                                                           </t>
  </si>
  <si>
    <t>第二十三屆年會結餘</t>
  </si>
  <si>
    <t>年會收入明細</t>
  </si>
  <si>
    <t>年會支出明細</t>
  </si>
  <si>
    <t>結餘</t>
  </si>
  <si>
    <t>前期結餘</t>
  </si>
  <si>
    <t>年會晚宴5500*32桌</t>
  </si>
  <si>
    <t>BASH 21人*600</t>
  </si>
  <si>
    <t>場地租金</t>
  </si>
  <si>
    <t>旺哥一桌</t>
  </si>
  <si>
    <t>清潔費</t>
  </si>
  <si>
    <t>售短T 3件*250</t>
  </si>
  <si>
    <t>外燴廚房搭架</t>
  </si>
  <si>
    <t>午餐</t>
  </si>
  <si>
    <t>威士忌*8箱(48瓶)</t>
  </si>
  <si>
    <t>卡拉OK</t>
  </si>
  <si>
    <t>吉他手</t>
  </si>
  <si>
    <t>辦桌匯費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</si>
</sst>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[$$]#,##0"/>
  </numFmts>
  <fonts count="20">
    <font>
      <sz val="10.0"/>
      <color rgb="FF000000"/>
      <name val="Arial"/>
      <scheme val="minor"/>
    </font>
    <font>
      <b/>
      <sz val="18.0"/>
      <color theme="1"/>
      <name val="Arial"/>
    </font>
    <font/>
    <font>
      <b/>
      <sz val="14.0"/>
      <color theme="1"/>
      <name val="Arial"/>
    </font>
    <font>
      <b/>
      <sz val="11.0"/>
      <color theme="1"/>
      <name val="Arial"/>
    </font>
    <font>
      <sz val="14.0"/>
      <color theme="1"/>
      <name val="Arial"/>
    </font>
    <font>
      <b/>
      <sz val="14.0"/>
      <color rgb="FFFF0000"/>
      <name val="Arial"/>
    </font>
    <font>
      <b/>
      <sz val="14.0"/>
      <color rgb="FF0000FF"/>
      <name val="Arial"/>
    </font>
    <font>
      <b/>
      <color theme="1"/>
      <name val="Arial"/>
    </font>
    <font>
      <sz val="14.0"/>
      <color rgb="FF0000FF"/>
      <name val="Arial"/>
    </font>
    <font>
      <b/>
      <sz val="12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  <font>
      <b/>
      <sz val="10.0"/>
      <color theme="1"/>
      <name val="Arial"/>
    </font>
    <font>
      <b/>
      <sz val="17.0"/>
      <color rgb="FFFF0000"/>
      <name val="Arial"/>
    </font>
    <font>
      <b/>
      <sz val="17.0"/>
      <color theme="1"/>
      <name val="Arial"/>
    </font>
    <font>
      <b/>
      <sz val="17.0"/>
      <color rgb="FF0000FF"/>
      <name val="Arial"/>
    </font>
    <font>
      <sz val="10.0"/>
      <color theme="1"/>
      <name val="Arial"/>
    </font>
    <font>
      <sz val="17.0"/>
      <color theme="1"/>
      <name val="Arial"/>
    </font>
    <font>
      <b/>
      <sz val="17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/>
      <top/>
      <bottom/>
    </border>
    <border>
      <left style="thin">
        <color rgb="FF000000"/>
      </left>
      <bottom style="thin">
        <color rgb="FF000000"/>
      </bottom>
    </border>
    <border>
      <left/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top" wrapText="1"/>
    </xf>
    <xf borderId="1" fillId="3" fontId="3" numFmtId="0" xfId="0" applyAlignment="1" applyBorder="1" applyFill="1" applyFont="1">
      <alignment horizontal="center"/>
    </xf>
    <xf borderId="4" fillId="3" fontId="3" numFmtId="0" xfId="0" applyAlignment="1" applyBorder="1" applyFont="1">
      <alignment horizontal="center"/>
    </xf>
    <xf borderId="5" fillId="4" fontId="3" numFmtId="0" xfId="0" applyAlignment="1" applyBorder="1" applyFill="1" applyFont="1">
      <alignment horizontal="center" vertical="center"/>
    </xf>
    <xf borderId="1" fillId="4" fontId="3" numFmtId="0" xfId="0" applyAlignment="1" applyBorder="1" applyFont="1">
      <alignment horizontal="center" vertical="center"/>
    </xf>
    <xf borderId="3" fillId="3" fontId="4" numFmtId="0" xfId="0" applyAlignment="1" applyBorder="1" applyFont="1">
      <alignment horizontal="center"/>
    </xf>
    <xf borderId="4" fillId="4" fontId="4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readingOrder="0" vertical="center"/>
    </xf>
    <xf borderId="7" fillId="3" fontId="5" numFmtId="164" xfId="0" applyAlignment="1" applyBorder="1" applyFont="1" applyNumberFormat="1">
      <alignment horizontal="center" readingOrder="0" vertical="center"/>
    </xf>
    <xf borderId="7" fillId="0" fontId="6" numFmtId="0" xfId="0" applyAlignment="1" applyBorder="1" applyFont="1">
      <alignment horizontal="center" readingOrder="0" vertical="center"/>
    </xf>
    <xf borderId="7" fillId="3" fontId="3" numFmtId="0" xfId="0" applyAlignment="1" applyBorder="1" applyFont="1">
      <alignment horizontal="center" readingOrder="0" vertical="center"/>
    </xf>
    <xf borderId="7" fillId="3" fontId="3" numFmtId="0" xfId="0" applyAlignment="1" applyBorder="1" applyFont="1">
      <alignment horizontal="center" vertical="center"/>
    </xf>
    <xf borderId="3" fillId="3" fontId="7" numFmtId="0" xfId="0" applyAlignment="1" applyBorder="1" applyFont="1">
      <alignment horizontal="center"/>
    </xf>
    <xf borderId="3" fillId="3" fontId="3" numFmtId="165" xfId="0" applyAlignment="1" applyBorder="1" applyFont="1" applyNumberFormat="1">
      <alignment horizontal="center" readingOrder="0"/>
    </xf>
    <xf borderId="3" fillId="3" fontId="3" numFmtId="0" xfId="0" applyAlignment="1" applyBorder="1" applyFont="1">
      <alignment readingOrder="0"/>
    </xf>
    <xf borderId="3" fillId="3" fontId="8" numFmtId="0" xfId="0" applyBorder="1" applyFont="1"/>
    <xf borderId="3" fillId="3" fontId="3" numFmtId="165" xfId="0" applyAlignment="1" applyBorder="1" applyFont="1" applyNumberFormat="1">
      <alignment horizontal="right"/>
    </xf>
    <xf borderId="3" fillId="3" fontId="3" numFmtId="0" xfId="0" applyAlignment="1" applyBorder="1" applyFont="1">
      <alignment horizontal="center"/>
    </xf>
    <xf borderId="8" fillId="4" fontId="6" numFmtId="165" xfId="0" applyAlignment="1" applyBorder="1" applyFont="1" applyNumberFormat="1">
      <alignment horizontal="center"/>
    </xf>
    <xf borderId="0" fillId="3" fontId="8" numFmtId="0" xfId="0" applyFont="1"/>
    <xf borderId="9" fillId="0" fontId="2" numFmtId="0" xfId="0" applyBorder="1" applyFont="1"/>
    <xf borderId="10" fillId="0" fontId="2" numFmtId="0" xfId="0" applyBorder="1" applyFont="1"/>
    <xf borderId="8" fillId="4" fontId="6" numFmtId="0" xfId="0" applyAlignment="1" applyBorder="1" applyFont="1">
      <alignment horizontal="center"/>
    </xf>
    <xf borderId="8" fillId="4" fontId="3" numFmtId="165" xfId="0" applyAlignment="1" applyBorder="1" applyFont="1" applyNumberFormat="1">
      <alignment horizontal="center" readingOrder="0"/>
    </xf>
    <xf borderId="8" fillId="4" fontId="3" numFmtId="0" xfId="0" applyAlignment="1" applyBorder="1" applyFont="1">
      <alignment readingOrder="0"/>
    </xf>
    <xf borderId="8" fillId="4" fontId="8" numFmtId="0" xfId="0" applyBorder="1" applyFont="1"/>
    <xf borderId="8" fillId="4" fontId="3" numFmtId="165" xfId="0" applyAlignment="1" applyBorder="1" applyFont="1" applyNumberFormat="1">
      <alignment horizontal="right"/>
    </xf>
    <xf borderId="8" fillId="4" fontId="3" numFmtId="0" xfId="0" applyAlignment="1" applyBorder="1" applyFont="1">
      <alignment horizontal="center"/>
    </xf>
    <xf borderId="8" fillId="3" fontId="8" numFmtId="0" xfId="0" applyBorder="1" applyFont="1"/>
    <xf borderId="8" fillId="4" fontId="9" numFmtId="0" xfId="0" applyAlignment="1" applyBorder="1" applyFont="1">
      <alignment horizontal="center" readingOrder="0"/>
    </xf>
    <xf borderId="8" fillId="3" fontId="3" numFmtId="165" xfId="0" applyAlignment="1" applyBorder="1" applyFont="1" applyNumberFormat="1">
      <alignment horizontal="center" readingOrder="0"/>
    </xf>
    <xf borderId="8" fillId="3" fontId="3" numFmtId="165" xfId="0" applyAlignment="1" applyBorder="1" applyFont="1" applyNumberFormat="1">
      <alignment horizontal="right"/>
    </xf>
    <xf borderId="8" fillId="3" fontId="3" numFmtId="0" xfId="0" applyBorder="1" applyFont="1"/>
    <xf borderId="8" fillId="3" fontId="3" numFmtId="165" xfId="0" applyAlignment="1" applyBorder="1" applyFont="1" applyNumberFormat="1">
      <alignment horizontal="right" readingOrder="0"/>
    </xf>
    <xf borderId="10" fillId="4" fontId="3" numFmtId="0" xfId="0" applyAlignment="1" applyBorder="1" applyFont="1">
      <alignment horizontal="center"/>
    </xf>
    <xf borderId="8" fillId="3" fontId="7" numFmtId="0" xfId="0" applyAlignment="1" applyBorder="1" applyFont="1">
      <alignment horizontal="center"/>
    </xf>
    <xf borderId="8" fillId="3" fontId="3" numFmtId="0" xfId="0" applyAlignment="1" applyBorder="1" applyFont="1">
      <alignment readingOrder="0"/>
    </xf>
    <xf borderId="8" fillId="4" fontId="3" numFmtId="0" xfId="0" applyBorder="1" applyFont="1"/>
    <xf borderId="8" fillId="4" fontId="3" numFmtId="165" xfId="0" applyAlignment="1" applyBorder="1" applyFont="1" applyNumberFormat="1">
      <alignment horizontal="right" readingOrder="0"/>
    </xf>
    <xf borderId="8" fillId="4" fontId="7" numFmtId="0" xfId="0" applyAlignment="1" applyBorder="1" applyFont="1">
      <alignment horizontal="center"/>
    </xf>
    <xf borderId="8" fillId="4" fontId="3" numFmtId="165" xfId="0" applyAlignment="1" applyBorder="1" applyFont="1" applyNumberFormat="1">
      <alignment horizontal="center"/>
    </xf>
    <xf borderId="8" fillId="3" fontId="3" numFmtId="165" xfId="0" applyAlignment="1" applyBorder="1" applyFont="1" applyNumberFormat="1">
      <alignment readingOrder="0"/>
    </xf>
    <xf borderId="8" fillId="4" fontId="7" numFmtId="0" xfId="0" applyAlignment="1" applyBorder="1" applyFont="1">
      <alignment horizontal="center" readingOrder="0"/>
    </xf>
    <xf borderId="8" fillId="3" fontId="8" numFmtId="0" xfId="0" applyAlignment="1" applyBorder="1" applyFont="1">
      <alignment readingOrder="0"/>
    </xf>
    <xf borderId="11" fillId="4" fontId="3" numFmtId="0" xfId="0" applyAlignment="1" applyBorder="1" applyFont="1">
      <alignment vertical="center"/>
    </xf>
    <xf borderId="11" fillId="4" fontId="3" numFmtId="165" xfId="0" applyAlignment="1" applyBorder="1" applyFont="1" applyNumberFormat="1">
      <alignment horizontal="right" readingOrder="0" vertical="center"/>
    </xf>
    <xf borderId="8" fillId="3" fontId="3" numFmtId="0" xfId="0" applyAlignment="1" applyBorder="1" applyFont="1">
      <alignment horizontal="center" readingOrder="0"/>
    </xf>
    <xf borderId="11" fillId="3" fontId="3" numFmtId="0" xfId="0" applyAlignment="1" applyBorder="1" applyFont="1">
      <alignment readingOrder="0" vertical="center"/>
    </xf>
    <xf borderId="11" fillId="3" fontId="3" numFmtId="165" xfId="0" applyAlignment="1" applyBorder="1" applyFont="1" applyNumberFormat="1">
      <alignment readingOrder="0" vertical="center"/>
    </xf>
    <xf borderId="8" fillId="0" fontId="2" numFmtId="0" xfId="0" applyBorder="1" applyFont="1"/>
    <xf borderId="12" fillId="4" fontId="3" numFmtId="0" xfId="0" applyAlignment="1" applyBorder="1" applyFont="1">
      <alignment horizontal="center"/>
    </xf>
    <xf borderId="12" fillId="0" fontId="2" numFmtId="0" xfId="0" applyBorder="1" applyFont="1"/>
    <xf borderId="8" fillId="4" fontId="6" numFmtId="165" xfId="0" applyAlignment="1" applyBorder="1" applyFont="1" applyNumberFormat="1">
      <alignment horizontal="right"/>
    </xf>
    <xf borderId="13" fillId="0" fontId="2" numFmtId="0" xfId="0" applyBorder="1" applyFont="1"/>
    <xf borderId="8" fillId="3" fontId="3" numFmtId="0" xfId="0" applyAlignment="1" applyBorder="1" applyFont="1">
      <alignment horizontal="center" vertical="center"/>
    </xf>
    <xf borderId="12" fillId="3" fontId="3" numFmtId="165" xfId="0" applyAlignment="1" applyBorder="1" applyFont="1" applyNumberFormat="1">
      <alignment readingOrder="0" shrinkToFit="0" wrapText="1"/>
    </xf>
    <xf borderId="14" fillId="3" fontId="3" numFmtId="165" xfId="0" applyAlignment="1" applyBorder="1" applyFont="1" applyNumberFormat="1">
      <alignment readingOrder="0" vertical="center"/>
    </xf>
    <xf borderId="15" fillId="0" fontId="2" numFmtId="0" xfId="0" applyBorder="1" applyFont="1"/>
    <xf borderId="8" fillId="3" fontId="8" numFmtId="0" xfId="0" applyAlignment="1" applyBorder="1" applyFont="1">
      <alignment horizontal="center" readingOrder="0"/>
    </xf>
    <xf borderId="16" fillId="0" fontId="2" numFmtId="0" xfId="0" applyBorder="1" applyFont="1"/>
    <xf borderId="8" fillId="3" fontId="3" numFmtId="0" xfId="0" applyAlignment="1" applyBorder="1" applyFont="1">
      <alignment horizontal="center"/>
    </xf>
    <xf borderId="8" fillId="3" fontId="8" numFmtId="165" xfId="0" applyBorder="1" applyFont="1" applyNumberFormat="1"/>
    <xf borderId="8" fillId="4" fontId="6" numFmtId="165" xfId="0" applyAlignment="1" applyBorder="1" applyFont="1" applyNumberFormat="1">
      <alignment horizontal="right" readingOrder="0"/>
    </xf>
    <xf borderId="12" fillId="3" fontId="3" numFmtId="165" xfId="0" applyAlignment="1" applyBorder="1" applyFont="1" applyNumberFormat="1">
      <alignment horizontal="center" readingOrder="0" shrinkToFit="0" wrapText="1"/>
    </xf>
    <xf borderId="8" fillId="4" fontId="3" numFmtId="0" xfId="0" applyAlignment="1" applyBorder="1" applyFont="1">
      <alignment vertical="center"/>
    </xf>
    <xf borderId="8" fillId="4" fontId="3" numFmtId="165" xfId="0" applyAlignment="1" applyBorder="1" applyFont="1" applyNumberFormat="1">
      <alignment horizontal="right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164" xfId="0" applyAlignment="1" applyBorder="1" applyFont="1" applyNumberFormat="1">
      <alignment horizontal="center" readingOrder="0" vertical="center"/>
    </xf>
    <xf borderId="10" fillId="0" fontId="6" numFmtId="0" xfId="0" applyAlignment="1" applyBorder="1" applyFont="1">
      <alignment horizontal="center" readingOrder="0" vertical="center"/>
    </xf>
    <xf borderId="10" fillId="3" fontId="3" numFmtId="0" xfId="0" applyAlignment="1" applyBorder="1" applyFont="1">
      <alignment horizontal="center" readingOrder="0" vertical="center"/>
    </xf>
    <xf borderId="8" fillId="4" fontId="10" numFmtId="0" xfId="0" applyAlignment="1" applyBorder="1" applyFont="1">
      <alignment horizontal="center" readingOrder="0"/>
    </xf>
    <xf borderId="8" fillId="4" fontId="3" numFmtId="0" xfId="0" applyAlignment="1" applyBorder="1" applyFont="1">
      <alignment horizontal="center" readingOrder="0"/>
    </xf>
    <xf borderId="8" fillId="4" fontId="8" numFmtId="0" xfId="0" applyAlignment="1" applyBorder="1" applyFont="1">
      <alignment horizontal="center" readingOrder="0"/>
    </xf>
    <xf borderId="8" fillId="4" fontId="11" numFmtId="0" xfId="0" applyAlignment="1" applyBorder="1" applyFont="1">
      <alignment horizontal="center" readingOrder="0"/>
    </xf>
    <xf borderId="8" fillId="4" fontId="8" numFmtId="0" xfId="0" applyAlignment="1" applyBorder="1" applyFont="1">
      <alignment readingOrder="0"/>
    </xf>
    <xf borderId="8" fillId="4" fontId="3" numFmtId="0" xfId="0" applyAlignment="1" applyBorder="1" applyFont="1">
      <alignment readingOrder="0" vertical="center"/>
    </xf>
    <xf borderId="8" fillId="4" fontId="12" numFmtId="0" xfId="0" applyAlignment="1" applyBorder="1" applyFont="1">
      <alignment horizontal="center" readingOrder="0"/>
    </xf>
    <xf borderId="11" fillId="4" fontId="3" numFmtId="0" xfId="0" applyAlignment="1" applyBorder="1" applyFont="1">
      <alignment readingOrder="0" vertical="center"/>
    </xf>
    <xf borderId="11" fillId="3" fontId="3" numFmtId="0" xfId="0" applyAlignment="1" applyBorder="1" applyFont="1">
      <alignment vertical="center"/>
    </xf>
    <xf borderId="8" fillId="3" fontId="3" numFmtId="165" xfId="0" applyAlignment="1" applyBorder="1" applyFont="1" applyNumberFormat="1">
      <alignment horizontal="center"/>
    </xf>
    <xf borderId="8" fillId="4" fontId="8" numFmtId="165" xfId="0" applyBorder="1" applyFont="1" applyNumberFormat="1"/>
    <xf borderId="8" fillId="3" fontId="7" numFmtId="0" xfId="0" applyAlignment="1" applyBorder="1" applyFont="1">
      <alignment horizontal="center" readingOrder="0"/>
    </xf>
    <xf borderId="3" fillId="3" fontId="3" numFmtId="165" xfId="0" applyAlignment="1" applyBorder="1" applyFont="1" applyNumberFormat="1">
      <alignment horizontal="center"/>
    </xf>
    <xf borderId="5" fillId="4" fontId="3" numFmtId="0" xfId="0" applyBorder="1" applyFont="1"/>
    <xf borderId="3" fillId="4" fontId="3" numFmtId="165" xfId="0" applyAlignment="1" applyBorder="1" applyFont="1" applyNumberFormat="1">
      <alignment horizontal="right"/>
    </xf>
    <xf borderId="13" fillId="3" fontId="3" numFmtId="0" xfId="0" applyBorder="1" applyFont="1"/>
    <xf borderId="0" fillId="4" fontId="8" numFmtId="0" xfId="0" applyFont="1"/>
    <xf borderId="11" fillId="3" fontId="13" numFmtId="165" xfId="0" applyAlignment="1" applyBorder="1" applyFont="1" applyNumberFormat="1">
      <alignment vertical="center"/>
    </xf>
    <xf borderId="8" fillId="4" fontId="3" numFmtId="165" xfId="0" applyAlignment="1" applyBorder="1" applyFont="1" applyNumberFormat="1">
      <alignment readingOrder="0"/>
    </xf>
    <xf borderId="17" fillId="3" fontId="14" numFmtId="0" xfId="0" applyAlignment="1" applyBorder="1" applyFont="1">
      <alignment horizontal="center" readingOrder="0" shrinkToFit="0" vertical="center" wrapText="1"/>
    </xf>
    <xf borderId="18" fillId="0" fontId="2" numFmtId="0" xfId="0" applyBorder="1" applyFont="1"/>
    <xf borderId="7" fillId="0" fontId="2" numFmtId="0" xfId="0" applyBorder="1" applyFont="1"/>
    <xf borderId="10" fillId="3" fontId="15" numFmtId="0" xfId="0" applyAlignment="1" applyBorder="1" applyFont="1">
      <alignment horizontal="center" vertical="center"/>
    </xf>
    <xf borderId="1" fillId="3" fontId="16" numFmtId="0" xfId="0" applyAlignment="1" applyBorder="1" applyFont="1">
      <alignment horizontal="center" readingOrder="0" vertical="center"/>
    </xf>
    <xf borderId="6" fillId="4" fontId="15" numFmtId="0" xfId="0" applyAlignment="1" applyBorder="1" applyFont="1">
      <alignment horizontal="center" readingOrder="0" vertical="center"/>
    </xf>
    <xf borderId="0" fillId="3" fontId="17" numFmtId="0" xfId="0" applyAlignment="1" applyFont="1">
      <alignment vertical="center"/>
    </xf>
    <xf borderId="19" fillId="0" fontId="2" numFmtId="0" xfId="0" applyBorder="1" applyFont="1"/>
    <xf borderId="1" fillId="3" fontId="15" numFmtId="165" xfId="0" applyAlignment="1" applyBorder="1" applyFont="1" applyNumberFormat="1">
      <alignment horizontal="right" readingOrder="0" vertical="center"/>
    </xf>
    <xf borderId="5" fillId="3" fontId="15" numFmtId="165" xfId="0" applyAlignment="1" applyBorder="1" applyFont="1" applyNumberFormat="1">
      <alignment horizontal="right" readingOrder="0" vertical="center"/>
    </xf>
    <xf borderId="20" fillId="3" fontId="17" numFmtId="0" xfId="0" applyAlignment="1" applyBorder="1" applyFont="1">
      <alignment vertical="center"/>
    </xf>
    <xf borderId="4" fillId="3" fontId="17" numFmtId="0" xfId="0" applyAlignment="1" applyBorder="1" applyFont="1">
      <alignment vertical="center"/>
    </xf>
    <xf borderId="1" fillId="4" fontId="16" numFmtId="0" xfId="0" applyAlignment="1" applyBorder="1" applyFont="1">
      <alignment horizontal="center" readingOrder="0" vertical="center"/>
    </xf>
    <xf borderId="1" fillId="4" fontId="15" numFmtId="165" xfId="0" applyAlignment="1" applyBorder="1" applyFont="1" applyNumberFormat="1">
      <alignment horizontal="right" readingOrder="0" vertical="center"/>
    </xf>
    <xf borderId="5" fillId="4" fontId="15" numFmtId="165" xfId="0" applyAlignment="1" applyBorder="1" applyFont="1" applyNumberFormat="1">
      <alignment horizontal="right" readingOrder="0" vertical="center"/>
    </xf>
    <xf borderId="20" fillId="4" fontId="17" numFmtId="0" xfId="0" applyAlignment="1" applyBorder="1" applyFont="1">
      <alignment vertical="center"/>
    </xf>
    <xf borderId="4" fillId="4" fontId="17" numFmtId="0" xfId="0" applyAlignment="1" applyBorder="1" applyFont="1">
      <alignment vertical="center"/>
    </xf>
    <xf borderId="1" fillId="3" fontId="18" numFmtId="0" xfId="0" applyAlignment="1" applyBorder="1" applyFont="1">
      <alignment horizontal="center" vertical="center"/>
    </xf>
    <xf borderId="1" fillId="3" fontId="18" numFmtId="0" xfId="0" applyAlignment="1" applyBorder="1" applyFont="1">
      <alignment vertical="center"/>
    </xf>
    <xf borderId="5" fillId="3" fontId="15" numFmtId="165" xfId="0" applyAlignment="1" applyBorder="1" applyFont="1" applyNumberFormat="1">
      <alignment readingOrder="0" vertical="center"/>
    </xf>
    <xf borderId="1" fillId="4" fontId="18" numFmtId="0" xfId="0" applyAlignment="1" applyBorder="1" applyFont="1">
      <alignment horizontal="center" vertical="center"/>
    </xf>
    <xf borderId="1" fillId="4" fontId="18" numFmtId="0" xfId="0" applyAlignment="1" applyBorder="1" applyFont="1">
      <alignment vertical="center"/>
    </xf>
    <xf borderId="5" fillId="4" fontId="15" numFmtId="165" xfId="0" applyAlignment="1" applyBorder="1" applyFont="1" applyNumberFormat="1">
      <alignment readingOrder="0" vertical="center"/>
    </xf>
    <xf borderId="1" fillId="4" fontId="15" numFmtId="0" xfId="0" applyAlignment="1" applyBorder="1" applyFont="1">
      <alignment horizontal="center" vertical="center"/>
    </xf>
    <xf borderId="1" fillId="4" fontId="14" numFmtId="165" xfId="0" applyAlignment="1" applyBorder="1" applyFont="1" applyNumberFormat="1">
      <alignment horizontal="right" vertical="center"/>
    </xf>
    <xf borderId="5" fillId="4" fontId="19" numFmtId="165" xfId="0" applyAlignment="1" applyBorder="1" applyFont="1" applyNumberFormat="1">
      <alignment horizontal="right" readingOrder="0" vertical="center"/>
    </xf>
    <xf borderId="21" fillId="0" fontId="2" numFmtId="0" xfId="0" applyBorder="1" applyFont="1"/>
    <xf borderId="22" fillId="4" fontId="14" numFmtId="165" xfId="0" applyAlignment="1" applyBorder="1" applyFont="1" applyNumberFormat="1">
      <alignment horizontal="right" vertical="center"/>
    </xf>
    <xf borderId="1" fillId="4" fontId="15" numFmtId="0" xfId="0" applyAlignment="1" applyBorder="1" applyFont="1">
      <alignment vertical="center"/>
    </xf>
    <xf borderId="8" fillId="4" fontId="14" numFmtId="165" xfId="0" applyAlignment="1" applyBorder="1" applyFont="1" applyNumberFormat="1">
      <alignment horizontal="right" vertical="center"/>
    </xf>
    <xf borderId="16" fillId="4" fontId="14" numFmtId="165" xfId="0" applyAlignment="1" applyBorder="1" applyFont="1" applyNumberFormat="1">
      <alignment horizontal="center" vertical="center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17" numFmtId="0" xfId="0" applyFont="1"/>
    <xf borderId="0" fillId="0" fontId="1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132</xdr:row>
      <xdr:rowOff>0</xdr:rowOff>
    </xdr:from>
    <xdr:ext cx="876300" cy="514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0.0"/>
    <col customWidth="1" min="2" max="2" width="19.25"/>
    <col customWidth="1" min="3" max="3" width="5.63"/>
    <col customWidth="1" min="4" max="4" width="17.0"/>
    <col customWidth="1" min="5" max="5" width="12.38"/>
    <col customWidth="1" min="6" max="6" width="11.5"/>
    <col customWidth="1" min="7" max="7" width="10.88"/>
    <col customWidth="1" min="8" max="10" width="5.63"/>
    <col customWidth="1" min="11" max="11" width="10.0"/>
    <col customWidth="1" min="12" max="12" width="16.88"/>
    <col customWidth="1" min="13" max="13" width="12.38"/>
    <col customWidth="1" min="14" max="14" width="13.88"/>
    <col customWidth="1" min="15" max="29" width="9.63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5.75" customHeight="1">
      <c r="A2" s="5" t="s">
        <v>1</v>
      </c>
      <c r="B2" s="2"/>
      <c r="C2" s="2"/>
      <c r="D2" s="3"/>
      <c r="E2" s="5" t="s">
        <v>2</v>
      </c>
      <c r="F2" s="2"/>
      <c r="G2" s="2"/>
      <c r="H2" s="2"/>
      <c r="I2" s="2"/>
      <c r="J2" s="2"/>
      <c r="K2" s="3"/>
      <c r="L2" s="5" t="s">
        <v>3</v>
      </c>
      <c r="M2" s="2"/>
      <c r="N2" s="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15.75" customHeight="1">
      <c r="A3" s="7" t="s">
        <v>4</v>
      </c>
      <c r="B3" s="8" t="s">
        <v>5</v>
      </c>
      <c r="C3" s="3"/>
      <c r="D3" s="7" t="s">
        <v>6</v>
      </c>
      <c r="E3" s="7"/>
      <c r="F3" s="7" t="s">
        <v>7</v>
      </c>
      <c r="G3" s="7" t="s">
        <v>8</v>
      </c>
      <c r="H3" s="7" t="s">
        <v>9</v>
      </c>
      <c r="I3" s="7"/>
      <c r="J3" s="7"/>
      <c r="K3" s="7" t="s">
        <v>10</v>
      </c>
      <c r="L3" s="7" t="s">
        <v>11</v>
      </c>
      <c r="M3" s="7" t="s">
        <v>12</v>
      </c>
      <c r="N3" s="9" t="s">
        <v>13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ht="18.75" customHeight="1">
      <c r="A4" s="11">
        <v>1174.0</v>
      </c>
      <c r="B4" s="12">
        <v>45710.0</v>
      </c>
      <c r="C4" s="13"/>
      <c r="D4" s="14" t="s">
        <v>14</v>
      </c>
      <c r="E4" s="15" t="s">
        <v>15</v>
      </c>
      <c r="F4" s="16" t="s">
        <v>16</v>
      </c>
      <c r="G4" s="17">
        <v>200.0</v>
      </c>
      <c r="H4" s="18">
        <v>66.0</v>
      </c>
      <c r="I4" s="19"/>
      <c r="J4" s="19"/>
      <c r="K4" s="20">
        <f t="shared" ref="K4:K11" si="1">G4*H4</f>
        <v>13200</v>
      </c>
      <c r="L4" s="21" t="s">
        <v>17</v>
      </c>
      <c r="M4" s="20">
        <v>200.0</v>
      </c>
      <c r="N4" s="22">
        <f>K12-M12</f>
        <v>5995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ht="18.75" customHeight="1">
      <c r="A5" s="24"/>
      <c r="B5" s="25"/>
      <c r="C5" s="25"/>
      <c r="D5" s="25"/>
      <c r="E5" s="25"/>
      <c r="F5" s="26" t="s">
        <v>18</v>
      </c>
      <c r="G5" s="27">
        <v>150.0</v>
      </c>
      <c r="H5" s="28">
        <v>39.0</v>
      </c>
      <c r="I5" s="29"/>
      <c r="J5" s="29"/>
      <c r="K5" s="30">
        <f t="shared" si="1"/>
        <v>5850</v>
      </c>
      <c r="L5" s="31" t="s">
        <v>19</v>
      </c>
      <c r="M5" s="30">
        <v>200.0</v>
      </c>
      <c r="N5" s="3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ht="18.75" customHeight="1">
      <c r="A6" s="24"/>
      <c r="B6" s="25"/>
      <c r="C6" s="25"/>
      <c r="D6" s="25"/>
      <c r="E6" s="25"/>
      <c r="F6" s="33" t="s">
        <v>20</v>
      </c>
      <c r="G6" s="34">
        <v>150.0</v>
      </c>
      <c r="H6" s="28">
        <v>2.0</v>
      </c>
      <c r="I6" s="32"/>
      <c r="J6" s="32"/>
      <c r="K6" s="35">
        <f t="shared" si="1"/>
        <v>300</v>
      </c>
      <c r="L6" s="36" t="s">
        <v>21</v>
      </c>
      <c r="M6" s="37">
        <v>400.0</v>
      </c>
      <c r="N6" s="38" t="s">
        <v>22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ht="18.75" customHeight="1">
      <c r="A7" s="24"/>
      <c r="B7" s="25"/>
      <c r="C7" s="25"/>
      <c r="D7" s="25"/>
      <c r="E7" s="25"/>
      <c r="F7" s="39" t="s">
        <v>23</v>
      </c>
      <c r="G7" s="27">
        <v>100.0</v>
      </c>
      <c r="H7" s="40"/>
      <c r="I7" s="29"/>
      <c r="J7" s="29"/>
      <c r="K7" s="30">
        <f t="shared" si="1"/>
        <v>0</v>
      </c>
      <c r="L7" s="41" t="s">
        <v>24</v>
      </c>
      <c r="M7" s="42">
        <v>3500.0</v>
      </c>
      <c r="N7" s="25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ht="18.75" customHeight="1">
      <c r="A8" s="24"/>
      <c r="B8" s="25"/>
      <c r="C8" s="25"/>
      <c r="D8" s="25"/>
      <c r="E8" s="25"/>
      <c r="F8" s="43" t="s">
        <v>25</v>
      </c>
      <c r="G8" s="44">
        <v>200.0</v>
      </c>
      <c r="H8" s="28">
        <v>2.0</v>
      </c>
      <c r="I8" s="32"/>
      <c r="J8" s="32"/>
      <c r="K8" s="35">
        <f t="shared" si="1"/>
        <v>400</v>
      </c>
      <c r="L8" s="36" t="s">
        <v>26</v>
      </c>
      <c r="M8" s="45">
        <v>3690.0</v>
      </c>
      <c r="N8" s="25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ht="18.75" customHeight="1">
      <c r="A9" s="24"/>
      <c r="B9" s="25"/>
      <c r="C9" s="25"/>
      <c r="D9" s="25"/>
      <c r="E9" s="25"/>
      <c r="F9" s="46" t="s">
        <v>27</v>
      </c>
      <c r="G9" s="34">
        <v>150.0</v>
      </c>
      <c r="H9" s="28"/>
      <c r="I9" s="32"/>
      <c r="J9" s="47"/>
      <c r="K9" s="35">
        <f t="shared" si="1"/>
        <v>0</v>
      </c>
      <c r="L9" s="48" t="s">
        <v>28</v>
      </c>
      <c r="M9" s="49">
        <f>1330+760+375</f>
        <v>2465</v>
      </c>
      <c r="N9" s="25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ht="18.75" customHeight="1">
      <c r="A10" s="24"/>
      <c r="B10" s="25"/>
      <c r="C10" s="25"/>
      <c r="D10" s="25"/>
      <c r="E10" s="25"/>
      <c r="F10" s="50" t="s">
        <v>29</v>
      </c>
      <c r="G10" s="34"/>
      <c r="H10" s="28"/>
      <c r="I10" s="32"/>
      <c r="J10" s="47"/>
      <c r="K10" s="35">
        <f t="shared" si="1"/>
        <v>0</v>
      </c>
      <c r="L10" s="51" t="s">
        <v>30</v>
      </c>
      <c r="M10" s="52">
        <f>1200+2100</f>
        <v>3300</v>
      </c>
      <c r="N10" s="25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18.75" customHeight="1">
      <c r="A11" s="24"/>
      <c r="B11" s="25"/>
      <c r="C11" s="25"/>
      <c r="D11" s="25"/>
      <c r="E11" s="53"/>
      <c r="F11" s="50" t="s">
        <v>31</v>
      </c>
      <c r="G11" s="45"/>
      <c r="H11" s="40"/>
      <c r="I11" s="29"/>
      <c r="J11" s="29"/>
      <c r="K11" s="35">
        <f t="shared" si="1"/>
        <v>0</v>
      </c>
      <c r="L11" s="51" t="s">
        <v>32</v>
      </c>
      <c r="M11" s="52"/>
      <c r="N11" s="5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18.75" customHeight="1">
      <c r="A12" s="24"/>
      <c r="B12" s="25"/>
      <c r="C12" s="25"/>
      <c r="D12" s="25"/>
      <c r="E12" s="22">
        <f>N22</f>
        <v>420218</v>
      </c>
      <c r="F12" s="54" t="s">
        <v>33</v>
      </c>
      <c r="G12" s="55"/>
      <c r="H12" s="53"/>
      <c r="I12" s="29"/>
      <c r="J12" s="29"/>
      <c r="K12" s="56">
        <f>SUM(K4:K11)</f>
        <v>19750</v>
      </c>
      <c r="L12" s="41" t="s">
        <v>34</v>
      </c>
      <c r="M12" s="56">
        <f>SUM(M4:M11)</f>
        <v>13755</v>
      </c>
      <c r="N12" s="22">
        <f>E12+K12-M12</f>
        <v>426213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ht="84.75" customHeight="1">
      <c r="A13" s="57"/>
      <c r="B13" s="53"/>
      <c r="C13" s="53"/>
      <c r="D13" s="53"/>
      <c r="E13" s="58" t="s">
        <v>35</v>
      </c>
      <c r="F13" s="59" t="s">
        <v>36</v>
      </c>
      <c r="G13" s="55"/>
      <c r="H13" s="55"/>
      <c r="I13" s="55"/>
      <c r="J13" s="55"/>
      <c r="K13" s="55"/>
      <c r="L13" s="55"/>
      <c r="M13" s="55"/>
      <c r="N13" s="5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ht="18.75" customHeight="1">
      <c r="A14" s="11">
        <v>1173.0</v>
      </c>
      <c r="B14" s="12">
        <v>45703.0</v>
      </c>
      <c r="C14" s="13"/>
      <c r="D14" s="14" t="s">
        <v>37</v>
      </c>
      <c r="E14" s="15" t="s">
        <v>15</v>
      </c>
      <c r="F14" s="16" t="s">
        <v>16</v>
      </c>
      <c r="G14" s="17">
        <v>200.0</v>
      </c>
      <c r="H14" s="18">
        <v>79.0</v>
      </c>
      <c r="I14" s="19"/>
      <c r="J14" s="19"/>
      <c r="K14" s="20">
        <f t="shared" ref="K14:K21" si="2">G14*H14</f>
        <v>15800</v>
      </c>
      <c r="L14" s="21" t="s">
        <v>17</v>
      </c>
      <c r="M14" s="20">
        <v>200.0</v>
      </c>
      <c r="N14" s="22">
        <f>K22-M22</f>
        <v>6860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ht="18.75" customHeight="1">
      <c r="A15" s="24"/>
      <c r="B15" s="25"/>
      <c r="C15" s="25"/>
      <c r="D15" s="25"/>
      <c r="E15" s="25"/>
      <c r="F15" s="26" t="s">
        <v>18</v>
      </c>
      <c r="G15" s="27">
        <v>150.0</v>
      </c>
      <c r="H15" s="28">
        <v>41.0</v>
      </c>
      <c r="I15" s="29"/>
      <c r="J15" s="29"/>
      <c r="K15" s="30">
        <f t="shared" si="2"/>
        <v>6150</v>
      </c>
      <c r="L15" s="31" t="s">
        <v>19</v>
      </c>
      <c r="M15" s="30">
        <v>200.0</v>
      </c>
      <c r="N15" s="3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ht="18.75" customHeight="1">
      <c r="A16" s="24"/>
      <c r="B16" s="25"/>
      <c r="C16" s="25"/>
      <c r="D16" s="25"/>
      <c r="E16" s="25"/>
      <c r="F16" s="33" t="s">
        <v>20</v>
      </c>
      <c r="G16" s="34">
        <v>150.0</v>
      </c>
      <c r="H16" s="28"/>
      <c r="I16" s="32"/>
      <c r="J16" s="32"/>
      <c r="K16" s="35">
        <f t="shared" si="2"/>
        <v>0</v>
      </c>
      <c r="L16" s="36" t="s">
        <v>21</v>
      </c>
      <c r="M16" s="37">
        <v>400.0</v>
      </c>
      <c r="N16" s="38" t="s">
        <v>22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ht="18.75" customHeight="1">
      <c r="A17" s="24"/>
      <c r="B17" s="25"/>
      <c r="C17" s="25"/>
      <c r="D17" s="25"/>
      <c r="E17" s="25"/>
      <c r="F17" s="39" t="s">
        <v>23</v>
      </c>
      <c r="G17" s="27">
        <v>100.0</v>
      </c>
      <c r="H17" s="40">
        <v>1.0</v>
      </c>
      <c r="I17" s="29"/>
      <c r="J17" s="29"/>
      <c r="K17" s="30">
        <f t="shared" si="2"/>
        <v>100</v>
      </c>
      <c r="L17" s="41" t="s">
        <v>24</v>
      </c>
      <c r="M17" s="42">
        <v>3500.0</v>
      </c>
      <c r="N17" s="25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ht="18.75" customHeight="1">
      <c r="A18" s="24"/>
      <c r="B18" s="25"/>
      <c r="C18" s="25"/>
      <c r="D18" s="25"/>
      <c r="E18" s="25"/>
      <c r="F18" s="43" t="s">
        <v>25</v>
      </c>
      <c r="G18" s="44">
        <v>200.0</v>
      </c>
      <c r="H18" s="28">
        <v>2.0</v>
      </c>
      <c r="I18" s="32"/>
      <c r="J18" s="32"/>
      <c r="K18" s="35">
        <f t="shared" si="2"/>
        <v>400</v>
      </c>
      <c r="L18" s="36" t="s">
        <v>26</v>
      </c>
      <c r="M18" s="45">
        <v>6340.0</v>
      </c>
      <c r="N18" s="25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ht="18.75" customHeight="1">
      <c r="A19" s="24"/>
      <c r="B19" s="25"/>
      <c r="C19" s="25"/>
      <c r="D19" s="25"/>
      <c r="E19" s="25"/>
      <c r="F19" s="46" t="s">
        <v>27</v>
      </c>
      <c r="G19" s="34">
        <v>150.0</v>
      </c>
      <c r="H19" s="28"/>
      <c r="I19" s="32"/>
      <c r="J19" s="47"/>
      <c r="K19" s="35">
        <f t="shared" si="2"/>
        <v>0</v>
      </c>
      <c r="L19" s="48" t="s">
        <v>28</v>
      </c>
      <c r="M19" s="49">
        <f>870+880</f>
        <v>1750</v>
      </c>
      <c r="N19" s="25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ht="18.75" customHeight="1">
      <c r="A20" s="24"/>
      <c r="B20" s="25"/>
      <c r="C20" s="25"/>
      <c r="D20" s="25"/>
      <c r="E20" s="25"/>
      <c r="F20" s="50" t="s">
        <v>29</v>
      </c>
      <c r="G20" s="34"/>
      <c r="H20" s="28"/>
      <c r="I20" s="32"/>
      <c r="J20" s="47"/>
      <c r="K20" s="35">
        <f t="shared" si="2"/>
        <v>0</v>
      </c>
      <c r="L20" s="51" t="s">
        <v>30</v>
      </c>
      <c r="M20" s="52">
        <f>1200+2000</f>
        <v>3200</v>
      </c>
      <c r="N20" s="25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ht="18.75" customHeight="1">
      <c r="A21" s="24"/>
      <c r="B21" s="25"/>
      <c r="C21" s="25"/>
      <c r="D21" s="25"/>
      <c r="E21" s="53"/>
      <c r="F21" s="50" t="s">
        <v>31</v>
      </c>
      <c r="G21" s="45"/>
      <c r="H21" s="40"/>
      <c r="I21" s="29"/>
      <c r="J21" s="29"/>
      <c r="K21" s="35">
        <f t="shared" si="2"/>
        <v>0</v>
      </c>
      <c r="L21" s="51" t="s">
        <v>32</v>
      </c>
      <c r="M21" s="52"/>
      <c r="N21" s="5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ht="18.75" customHeight="1">
      <c r="A22" s="24"/>
      <c r="B22" s="25"/>
      <c r="C22" s="25"/>
      <c r="D22" s="25"/>
      <c r="E22" s="22">
        <f>N32</f>
        <v>413358</v>
      </c>
      <c r="F22" s="54" t="s">
        <v>33</v>
      </c>
      <c r="G22" s="55"/>
      <c r="H22" s="53"/>
      <c r="I22" s="29"/>
      <c r="J22" s="29"/>
      <c r="K22" s="56">
        <f>SUM(K14:K21)</f>
        <v>22450</v>
      </c>
      <c r="L22" s="41" t="s">
        <v>34</v>
      </c>
      <c r="M22" s="56">
        <f>SUM(M14:M21)</f>
        <v>15590</v>
      </c>
      <c r="N22" s="22">
        <f>E22+K22-M22</f>
        <v>420218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ht="66.75" customHeight="1">
      <c r="A23" s="57"/>
      <c r="B23" s="53"/>
      <c r="C23" s="53"/>
      <c r="D23" s="53"/>
      <c r="E23" s="58" t="s">
        <v>35</v>
      </c>
      <c r="F23" s="59" t="s">
        <v>38</v>
      </c>
      <c r="G23" s="55"/>
      <c r="H23" s="55"/>
      <c r="I23" s="55"/>
      <c r="J23" s="55"/>
      <c r="K23" s="55"/>
      <c r="L23" s="55"/>
      <c r="M23" s="55"/>
      <c r="N23" s="5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ht="18.75" customHeight="1">
      <c r="A24" s="11">
        <v>1172.0</v>
      </c>
      <c r="B24" s="12">
        <v>45696.0</v>
      </c>
      <c r="C24" s="13"/>
      <c r="D24" s="14" t="s">
        <v>39</v>
      </c>
      <c r="E24" s="15" t="s">
        <v>15</v>
      </c>
      <c r="F24" s="16" t="s">
        <v>16</v>
      </c>
      <c r="G24" s="17">
        <v>200.0</v>
      </c>
      <c r="H24" s="18">
        <v>59.0</v>
      </c>
      <c r="I24" s="19"/>
      <c r="J24" s="19"/>
      <c r="K24" s="20">
        <f t="shared" ref="K24:K31" si="3">G24*H24</f>
        <v>11800</v>
      </c>
      <c r="L24" s="21" t="s">
        <v>17</v>
      </c>
      <c r="M24" s="20">
        <v>200.0</v>
      </c>
      <c r="N24" s="22">
        <f>K32-M32</f>
        <v>4180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ht="18.75" customHeight="1">
      <c r="A25" s="24"/>
      <c r="B25" s="25"/>
      <c r="C25" s="25"/>
      <c r="D25" s="25"/>
      <c r="E25" s="25"/>
      <c r="F25" s="26" t="s">
        <v>18</v>
      </c>
      <c r="G25" s="27">
        <v>150.0</v>
      </c>
      <c r="H25" s="28">
        <v>36.0</v>
      </c>
      <c r="I25" s="29"/>
      <c r="J25" s="29"/>
      <c r="K25" s="30">
        <f t="shared" si="3"/>
        <v>5400</v>
      </c>
      <c r="L25" s="31" t="s">
        <v>19</v>
      </c>
      <c r="M25" s="30">
        <v>200.0</v>
      </c>
      <c r="N25" s="3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ht="18.75" customHeight="1">
      <c r="A26" s="24"/>
      <c r="B26" s="25"/>
      <c r="C26" s="25"/>
      <c r="D26" s="25"/>
      <c r="E26" s="25"/>
      <c r="F26" s="33" t="s">
        <v>20</v>
      </c>
      <c r="G26" s="34">
        <v>150.0</v>
      </c>
      <c r="H26" s="28"/>
      <c r="I26" s="32"/>
      <c r="J26" s="32"/>
      <c r="K26" s="35">
        <f t="shared" si="3"/>
        <v>0</v>
      </c>
      <c r="L26" s="36" t="s">
        <v>21</v>
      </c>
      <c r="M26" s="37">
        <v>400.0</v>
      </c>
      <c r="N26" s="38" t="s">
        <v>22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ht="18.75" customHeight="1">
      <c r="A27" s="24"/>
      <c r="B27" s="25"/>
      <c r="C27" s="25"/>
      <c r="D27" s="25"/>
      <c r="E27" s="25"/>
      <c r="F27" s="39" t="s">
        <v>23</v>
      </c>
      <c r="G27" s="27">
        <v>100.0</v>
      </c>
      <c r="H27" s="40"/>
      <c r="I27" s="29"/>
      <c r="J27" s="29"/>
      <c r="K27" s="30">
        <f t="shared" si="3"/>
        <v>0</v>
      </c>
      <c r="L27" s="41" t="s">
        <v>24</v>
      </c>
      <c r="M27" s="42">
        <v>3500.0</v>
      </c>
      <c r="N27" s="25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ht="18.75" customHeight="1">
      <c r="A28" s="24"/>
      <c r="B28" s="25"/>
      <c r="C28" s="25"/>
      <c r="D28" s="25"/>
      <c r="E28" s="25"/>
      <c r="F28" s="43" t="s">
        <v>25</v>
      </c>
      <c r="G28" s="44">
        <v>200.0</v>
      </c>
      <c r="H28" s="28"/>
      <c r="I28" s="32"/>
      <c r="J28" s="32"/>
      <c r="K28" s="35">
        <f t="shared" si="3"/>
        <v>0</v>
      </c>
      <c r="L28" s="36" t="s">
        <v>26</v>
      </c>
      <c r="M28" s="45">
        <v>3700.0</v>
      </c>
      <c r="N28" s="25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ht="18.75" customHeight="1">
      <c r="A29" s="24"/>
      <c r="B29" s="25"/>
      <c r="C29" s="25"/>
      <c r="D29" s="25"/>
      <c r="E29" s="25"/>
      <c r="F29" s="46" t="s">
        <v>27</v>
      </c>
      <c r="G29" s="34">
        <v>150.0</v>
      </c>
      <c r="H29" s="28"/>
      <c r="I29" s="32"/>
      <c r="J29" s="47"/>
      <c r="K29" s="35">
        <f t="shared" si="3"/>
        <v>0</v>
      </c>
      <c r="L29" s="48" t="s">
        <v>28</v>
      </c>
      <c r="M29" s="49">
        <f>1150+830</f>
        <v>1980</v>
      </c>
      <c r="N29" s="25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ht="18.75" customHeight="1">
      <c r="A30" s="24"/>
      <c r="B30" s="25"/>
      <c r="C30" s="25"/>
      <c r="D30" s="25"/>
      <c r="E30" s="25"/>
      <c r="F30" s="50" t="s">
        <v>29</v>
      </c>
      <c r="G30" s="34"/>
      <c r="H30" s="28"/>
      <c r="I30" s="32"/>
      <c r="J30" s="47"/>
      <c r="K30" s="35">
        <f t="shared" si="3"/>
        <v>0</v>
      </c>
      <c r="L30" s="51" t="s">
        <v>30</v>
      </c>
      <c r="M30" s="52">
        <f>840+2200</f>
        <v>3040</v>
      </c>
      <c r="N30" s="25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ht="18.75" customHeight="1">
      <c r="A31" s="24"/>
      <c r="B31" s="25"/>
      <c r="C31" s="25"/>
      <c r="D31" s="25"/>
      <c r="E31" s="53"/>
      <c r="F31" s="50" t="s">
        <v>31</v>
      </c>
      <c r="G31" s="45"/>
      <c r="H31" s="40"/>
      <c r="I31" s="29"/>
      <c r="J31" s="29"/>
      <c r="K31" s="35">
        <f t="shared" si="3"/>
        <v>0</v>
      </c>
      <c r="L31" s="51" t="s">
        <v>32</v>
      </c>
      <c r="M31" s="52"/>
      <c r="N31" s="5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ht="18.75" customHeight="1">
      <c r="A32" s="24"/>
      <c r="B32" s="25"/>
      <c r="C32" s="25"/>
      <c r="D32" s="25"/>
      <c r="E32" s="22">
        <f>N42</f>
        <v>409178</v>
      </c>
      <c r="F32" s="54" t="s">
        <v>33</v>
      </c>
      <c r="G32" s="55"/>
      <c r="H32" s="53"/>
      <c r="I32" s="29"/>
      <c r="J32" s="29"/>
      <c r="K32" s="56">
        <f>SUM(K24:K31)</f>
        <v>17200</v>
      </c>
      <c r="L32" s="41" t="s">
        <v>34</v>
      </c>
      <c r="M32" s="56">
        <f>SUM(M24:M31)</f>
        <v>13020</v>
      </c>
      <c r="N32" s="22">
        <f>E32+K32-M32</f>
        <v>413358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ht="60.75" customHeight="1">
      <c r="A33" s="57"/>
      <c r="B33" s="53"/>
      <c r="C33" s="53"/>
      <c r="D33" s="53"/>
      <c r="E33" s="58" t="s">
        <v>35</v>
      </c>
      <c r="F33" s="59" t="s">
        <v>40</v>
      </c>
      <c r="G33" s="55"/>
      <c r="H33" s="55"/>
      <c r="I33" s="55"/>
      <c r="J33" s="55"/>
      <c r="K33" s="55"/>
      <c r="L33" s="55"/>
      <c r="M33" s="55"/>
      <c r="N33" s="5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ht="18.75" customHeight="1">
      <c r="A34" s="11">
        <v>1171.0</v>
      </c>
      <c r="B34" s="12">
        <v>45689.0</v>
      </c>
      <c r="C34" s="13"/>
      <c r="D34" s="14" t="s">
        <v>41</v>
      </c>
      <c r="E34" s="15" t="s">
        <v>15</v>
      </c>
      <c r="F34" s="16" t="s">
        <v>16</v>
      </c>
      <c r="G34" s="17">
        <v>200.0</v>
      </c>
      <c r="H34" s="18">
        <v>86.0</v>
      </c>
      <c r="I34" s="19"/>
      <c r="J34" s="19"/>
      <c r="K34" s="20">
        <f t="shared" ref="K34:K41" si="4">G34*H34</f>
        <v>17200</v>
      </c>
      <c r="L34" s="21" t="s">
        <v>17</v>
      </c>
      <c r="M34" s="20">
        <v>200.0</v>
      </c>
      <c r="N34" s="22">
        <f>K42-M42</f>
        <v>15631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ht="18.75" customHeight="1">
      <c r="A35" s="24"/>
      <c r="B35" s="25"/>
      <c r="C35" s="25"/>
      <c r="D35" s="25"/>
      <c r="E35" s="25"/>
      <c r="F35" s="26" t="s">
        <v>18</v>
      </c>
      <c r="G35" s="27">
        <v>150.0</v>
      </c>
      <c r="H35" s="28">
        <v>58.0</v>
      </c>
      <c r="I35" s="29"/>
      <c r="J35" s="29"/>
      <c r="K35" s="30">
        <f t="shared" si="4"/>
        <v>8700</v>
      </c>
      <c r="L35" s="31" t="s">
        <v>19</v>
      </c>
      <c r="M35" s="30">
        <v>200.0</v>
      </c>
      <c r="N35" s="32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ht="18.75" customHeight="1">
      <c r="A36" s="24"/>
      <c r="B36" s="25"/>
      <c r="C36" s="25"/>
      <c r="D36" s="25"/>
      <c r="E36" s="25"/>
      <c r="F36" s="33" t="s">
        <v>20</v>
      </c>
      <c r="G36" s="34">
        <v>150.0</v>
      </c>
      <c r="H36" s="28">
        <v>2.0</v>
      </c>
      <c r="I36" s="32"/>
      <c r="J36" s="32"/>
      <c r="K36" s="35">
        <f t="shared" si="4"/>
        <v>300</v>
      </c>
      <c r="L36" s="36" t="s">
        <v>21</v>
      </c>
      <c r="M36" s="37">
        <v>400.0</v>
      </c>
      <c r="N36" s="60">
        <f>1200+669</f>
        <v>1869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ht="18.75" customHeight="1">
      <c r="A37" s="24"/>
      <c r="B37" s="25"/>
      <c r="C37" s="25"/>
      <c r="D37" s="25"/>
      <c r="E37" s="25"/>
      <c r="F37" s="39" t="s">
        <v>23</v>
      </c>
      <c r="G37" s="27">
        <v>100.0</v>
      </c>
      <c r="H37" s="40"/>
      <c r="I37" s="29"/>
      <c r="J37" s="29"/>
      <c r="K37" s="30">
        <f t="shared" si="4"/>
        <v>0</v>
      </c>
      <c r="L37" s="41" t="s">
        <v>24</v>
      </c>
      <c r="M37" s="42">
        <v>3500.0</v>
      </c>
      <c r="N37" s="6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ht="18.75" customHeight="1">
      <c r="A38" s="24"/>
      <c r="B38" s="25"/>
      <c r="C38" s="25"/>
      <c r="D38" s="25"/>
      <c r="E38" s="25"/>
      <c r="F38" s="43" t="s">
        <v>25</v>
      </c>
      <c r="G38" s="44">
        <v>200.0</v>
      </c>
      <c r="H38" s="28">
        <v>6.0</v>
      </c>
      <c r="I38" s="32"/>
      <c r="J38" s="32"/>
      <c r="K38" s="35">
        <f t="shared" si="4"/>
        <v>1200</v>
      </c>
      <c r="L38" s="36" t="s">
        <v>26</v>
      </c>
      <c r="M38" s="45">
        <v>7700.0</v>
      </c>
      <c r="N38" s="6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ht="18.75" customHeight="1">
      <c r="A39" s="24"/>
      <c r="B39" s="25"/>
      <c r="C39" s="25"/>
      <c r="D39" s="25"/>
      <c r="E39" s="25"/>
      <c r="F39" s="46" t="s">
        <v>27</v>
      </c>
      <c r="G39" s="34">
        <v>150.0</v>
      </c>
      <c r="H39" s="28">
        <v>2.0</v>
      </c>
      <c r="I39" s="32"/>
      <c r="J39" s="47"/>
      <c r="K39" s="35">
        <f t="shared" si="4"/>
        <v>300</v>
      </c>
      <c r="L39" s="48" t="s">
        <v>28</v>
      </c>
      <c r="M39" s="49">
        <f>540+880</f>
        <v>1420</v>
      </c>
      <c r="N39" s="6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ht="18.75" customHeight="1">
      <c r="A40" s="24"/>
      <c r="B40" s="25"/>
      <c r="C40" s="25"/>
      <c r="D40" s="25"/>
      <c r="E40" s="25"/>
      <c r="F40" s="62" t="s">
        <v>42</v>
      </c>
      <c r="G40" s="34">
        <v>100.0</v>
      </c>
      <c r="H40" s="28">
        <v>1.0</v>
      </c>
      <c r="I40" s="32"/>
      <c r="J40" s="47"/>
      <c r="K40" s="35">
        <f t="shared" si="4"/>
        <v>100</v>
      </c>
      <c r="L40" s="51" t="s">
        <v>30</v>
      </c>
      <c r="M40" s="49">
        <f>1200+699</f>
        <v>1899</v>
      </c>
      <c r="N40" s="6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ht="18.75" customHeight="1">
      <c r="A41" s="24"/>
      <c r="B41" s="25"/>
      <c r="C41" s="25"/>
      <c r="D41" s="25"/>
      <c r="E41" s="53"/>
      <c r="F41" s="62" t="s">
        <v>43</v>
      </c>
      <c r="G41" s="45">
        <v>1050.0</v>
      </c>
      <c r="H41" s="40">
        <v>3.0</v>
      </c>
      <c r="I41" s="29"/>
      <c r="J41" s="29"/>
      <c r="K41" s="35">
        <f t="shared" si="4"/>
        <v>3150</v>
      </c>
      <c r="L41" s="51" t="s">
        <v>32</v>
      </c>
      <c r="M41" s="52"/>
      <c r="N41" s="6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ht="18.75" customHeight="1">
      <c r="A42" s="24"/>
      <c r="B42" s="25"/>
      <c r="C42" s="25"/>
      <c r="D42" s="25"/>
      <c r="E42" s="22">
        <f>N52</f>
        <v>393547</v>
      </c>
      <c r="F42" s="54" t="s">
        <v>33</v>
      </c>
      <c r="G42" s="55"/>
      <c r="H42" s="53"/>
      <c r="I42" s="29"/>
      <c r="J42" s="29"/>
      <c r="K42" s="56">
        <f>SUM(K34:K41)</f>
        <v>30950</v>
      </c>
      <c r="L42" s="41" t="s">
        <v>34</v>
      </c>
      <c r="M42" s="56">
        <f>SUM(M34:M41)</f>
        <v>15319</v>
      </c>
      <c r="N42" s="22">
        <f>E42+K42-M42</f>
        <v>409178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ht="66.75" customHeight="1">
      <c r="A43" s="57"/>
      <c r="B43" s="53"/>
      <c r="C43" s="53"/>
      <c r="D43" s="53"/>
      <c r="E43" s="58" t="s">
        <v>35</v>
      </c>
      <c r="F43" s="59" t="s">
        <v>44</v>
      </c>
      <c r="G43" s="55"/>
      <c r="H43" s="55"/>
      <c r="I43" s="55"/>
      <c r="J43" s="55"/>
      <c r="K43" s="55"/>
      <c r="L43" s="55"/>
      <c r="M43" s="55"/>
      <c r="N43" s="5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ht="18.75" customHeight="1">
      <c r="A44" s="11">
        <v>1170.0</v>
      </c>
      <c r="B44" s="12">
        <v>45682.0</v>
      </c>
      <c r="C44" s="13"/>
      <c r="D44" s="14" t="s">
        <v>45</v>
      </c>
      <c r="E44" s="15" t="s">
        <v>15</v>
      </c>
      <c r="F44" s="16" t="s">
        <v>16</v>
      </c>
      <c r="G44" s="17">
        <v>200.0</v>
      </c>
      <c r="H44" s="18">
        <v>70.0</v>
      </c>
      <c r="I44" s="19"/>
      <c r="J44" s="19"/>
      <c r="K44" s="20">
        <f t="shared" ref="K44:K50" si="5">G44*H44</f>
        <v>14000</v>
      </c>
      <c r="L44" s="21" t="s">
        <v>17</v>
      </c>
      <c r="M44" s="20">
        <v>200.0</v>
      </c>
      <c r="N44" s="22">
        <f>K52-M52</f>
        <v>5975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ht="18.75" customHeight="1">
      <c r="A45" s="24"/>
      <c r="B45" s="25"/>
      <c r="C45" s="25"/>
      <c r="D45" s="25"/>
      <c r="E45" s="25"/>
      <c r="F45" s="26" t="s">
        <v>18</v>
      </c>
      <c r="G45" s="27">
        <v>150.0</v>
      </c>
      <c r="H45" s="28">
        <v>42.0</v>
      </c>
      <c r="I45" s="29"/>
      <c r="J45" s="29"/>
      <c r="K45" s="30">
        <f t="shared" si="5"/>
        <v>6300</v>
      </c>
      <c r="L45" s="31" t="s">
        <v>19</v>
      </c>
      <c r="M45" s="30">
        <v>200.0</v>
      </c>
      <c r="N45" s="32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ht="18.75" customHeight="1">
      <c r="A46" s="24"/>
      <c r="B46" s="25"/>
      <c r="C46" s="25"/>
      <c r="D46" s="25"/>
      <c r="E46" s="25"/>
      <c r="F46" s="33" t="s">
        <v>20</v>
      </c>
      <c r="G46" s="34">
        <v>150.0</v>
      </c>
      <c r="H46" s="28">
        <v>1.0</v>
      </c>
      <c r="I46" s="32"/>
      <c r="J46" s="32"/>
      <c r="K46" s="35">
        <f t="shared" si="5"/>
        <v>150</v>
      </c>
      <c r="L46" s="36" t="s">
        <v>21</v>
      </c>
      <c r="M46" s="37">
        <v>400.0</v>
      </c>
      <c r="N46" s="38" t="s">
        <v>22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ht="18.75" customHeight="1">
      <c r="A47" s="24"/>
      <c r="B47" s="25"/>
      <c r="C47" s="25"/>
      <c r="D47" s="25"/>
      <c r="E47" s="25"/>
      <c r="F47" s="39" t="s">
        <v>23</v>
      </c>
      <c r="G47" s="27">
        <v>100.0</v>
      </c>
      <c r="H47" s="40"/>
      <c r="I47" s="29"/>
      <c r="J47" s="29"/>
      <c r="K47" s="30">
        <f t="shared" si="5"/>
        <v>0</v>
      </c>
      <c r="L47" s="41" t="s">
        <v>24</v>
      </c>
      <c r="M47" s="42">
        <v>3500.0</v>
      </c>
      <c r="N47" s="2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ht="18.75" customHeight="1">
      <c r="A48" s="24"/>
      <c r="B48" s="25"/>
      <c r="C48" s="25"/>
      <c r="D48" s="25"/>
      <c r="E48" s="25"/>
      <c r="F48" s="43" t="s">
        <v>25</v>
      </c>
      <c r="G48" s="44">
        <v>200.0</v>
      </c>
      <c r="H48" s="28"/>
      <c r="I48" s="32"/>
      <c r="J48" s="32"/>
      <c r="K48" s="35">
        <f t="shared" si="5"/>
        <v>0</v>
      </c>
      <c r="L48" s="36" t="s">
        <v>26</v>
      </c>
      <c r="M48" s="45">
        <v>4430.0</v>
      </c>
      <c r="N48" s="2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ht="18.75" customHeight="1">
      <c r="A49" s="24"/>
      <c r="B49" s="25"/>
      <c r="C49" s="25"/>
      <c r="D49" s="25"/>
      <c r="E49" s="25"/>
      <c r="F49" s="46" t="s">
        <v>27</v>
      </c>
      <c r="G49" s="34">
        <v>150.0</v>
      </c>
      <c r="H49" s="28"/>
      <c r="I49" s="32"/>
      <c r="J49" s="47"/>
      <c r="K49" s="35">
        <f t="shared" si="5"/>
        <v>0</v>
      </c>
      <c r="L49" s="48" t="s">
        <v>28</v>
      </c>
      <c r="M49" s="49">
        <f>2210+60+275</f>
        <v>2545</v>
      </c>
      <c r="N49" s="25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ht="18.75" customHeight="1">
      <c r="A50" s="24"/>
      <c r="B50" s="25"/>
      <c r="C50" s="25"/>
      <c r="D50" s="25"/>
      <c r="E50" s="25"/>
      <c r="F50" s="62" t="s">
        <v>46</v>
      </c>
      <c r="G50" s="34">
        <v>200.0</v>
      </c>
      <c r="H50" s="28">
        <v>1.0</v>
      </c>
      <c r="I50" s="32"/>
      <c r="J50" s="47"/>
      <c r="K50" s="35">
        <f t="shared" si="5"/>
        <v>200</v>
      </c>
      <c r="L50" s="51" t="s">
        <v>30</v>
      </c>
      <c r="M50" s="52">
        <v>3400.0</v>
      </c>
      <c r="N50" s="2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ht="18.75" customHeight="1">
      <c r="A51" s="24"/>
      <c r="B51" s="25"/>
      <c r="C51" s="25"/>
      <c r="D51" s="25"/>
      <c r="E51" s="53"/>
      <c r="F51" s="64" t="s">
        <v>31</v>
      </c>
      <c r="G51" s="65"/>
      <c r="H51" s="32"/>
      <c r="I51" s="29"/>
      <c r="J51" s="29"/>
      <c r="K51" s="35">
        <f>G51*F53:N53</f>
        <v>0</v>
      </c>
      <c r="L51" s="51" t="s">
        <v>32</v>
      </c>
      <c r="M51" s="52"/>
      <c r="N51" s="5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ht="18.75" customHeight="1">
      <c r="A52" s="24"/>
      <c r="B52" s="25"/>
      <c r="C52" s="25"/>
      <c r="D52" s="25"/>
      <c r="E52" s="22">
        <f>N62</f>
        <v>387572</v>
      </c>
      <c r="F52" s="54" t="s">
        <v>33</v>
      </c>
      <c r="G52" s="55"/>
      <c r="H52" s="53"/>
      <c r="I52" s="29"/>
      <c r="J52" s="29"/>
      <c r="K52" s="56">
        <f>SUM(K44:K51)</f>
        <v>20650</v>
      </c>
      <c r="L52" s="41" t="s">
        <v>34</v>
      </c>
      <c r="M52" s="56">
        <f>SUM(M44:M51)</f>
        <v>14675</v>
      </c>
      <c r="N52" s="22">
        <f>E52+K52-M52</f>
        <v>393547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ht="69.0" customHeight="1">
      <c r="A53" s="57"/>
      <c r="B53" s="53"/>
      <c r="C53" s="53"/>
      <c r="D53" s="53"/>
      <c r="E53" s="58" t="s">
        <v>35</v>
      </c>
      <c r="F53" s="59" t="s">
        <v>47</v>
      </c>
      <c r="G53" s="55"/>
      <c r="H53" s="55"/>
      <c r="I53" s="55"/>
      <c r="J53" s="55"/>
      <c r="K53" s="55"/>
      <c r="L53" s="55"/>
      <c r="M53" s="55"/>
      <c r="N53" s="5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ht="18.75" customHeight="1">
      <c r="A54" s="11">
        <v>1169.0</v>
      </c>
      <c r="B54" s="12">
        <v>45675.0</v>
      </c>
      <c r="C54" s="13"/>
      <c r="D54" s="14" t="s">
        <v>48</v>
      </c>
      <c r="E54" s="15" t="s">
        <v>15</v>
      </c>
      <c r="F54" s="16" t="s">
        <v>16</v>
      </c>
      <c r="G54" s="17">
        <v>200.0</v>
      </c>
      <c r="H54" s="18">
        <v>84.0</v>
      </c>
      <c r="I54" s="19"/>
      <c r="J54" s="19"/>
      <c r="K54" s="20">
        <f t="shared" ref="K54:K60" si="6">G54*H54</f>
        <v>16800</v>
      </c>
      <c r="L54" s="21" t="s">
        <v>17</v>
      </c>
      <c r="M54" s="20">
        <v>200.0</v>
      </c>
      <c r="N54" s="22">
        <f>K62-M62</f>
        <v>11140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ht="18.75" customHeight="1">
      <c r="A55" s="24"/>
      <c r="B55" s="25"/>
      <c r="C55" s="25"/>
      <c r="D55" s="25"/>
      <c r="E55" s="25"/>
      <c r="F55" s="26" t="s">
        <v>18</v>
      </c>
      <c r="G55" s="27">
        <v>150.0</v>
      </c>
      <c r="H55" s="28">
        <v>48.0</v>
      </c>
      <c r="I55" s="29"/>
      <c r="J55" s="29"/>
      <c r="K55" s="30">
        <f t="shared" si="6"/>
        <v>7200</v>
      </c>
      <c r="L55" s="31" t="s">
        <v>19</v>
      </c>
      <c r="M55" s="30">
        <v>200.0</v>
      </c>
      <c r="N55" s="32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ht="18.75" customHeight="1">
      <c r="A56" s="24"/>
      <c r="B56" s="25"/>
      <c r="C56" s="25"/>
      <c r="D56" s="25"/>
      <c r="E56" s="25"/>
      <c r="F56" s="33" t="s">
        <v>20</v>
      </c>
      <c r="G56" s="34">
        <v>150.0</v>
      </c>
      <c r="H56" s="28">
        <v>1.0</v>
      </c>
      <c r="I56" s="32"/>
      <c r="J56" s="32"/>
      <c r="K56" s="35">
        <f t="shared" si="6"/>
        <v>150</v>
      </c>
      <c r="L56" s="36" t="s">
        <v>21</v>
      </c>
      <c r="M56" s="37">
        <v>400.0</v>
      </c>
      <c r="N56" s="38" t="s">
        <v>22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ht="18.75" customHeight="1">
      <c r="A57" s="24"/>
      <c r="B57" s="25"/>
      <c r="C57" s="25"/>
      <c r="D57" s="25"/>
      <c r="E57" s="25"/>
      <c r="F57" s="39" t="s">
        <v>23</v>
      </c>
      <c r="G57" s="27">
        <v>100.0</v>
      </c>
      <c r="H57" s="40">
        <v>1.0</v>
      </c>
      <c r="I57" s="29"/>
      <c r="J57" s="29"/>
      <c r="K57" s="30">
        <f t="shared" si="6"/>
        <v>100</v>
      </c>
      <c r="L57" s="41" t="s">
        <v>24</v>
      </c>
      <c r="M57" s="42">
        <v>3500.0</v>
      </c>
      <c r="N57" s="25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ht="18.75" customHeight="1">
      <c r="A58" s="24"/>
      <c r="B58" s="25"/>
      <c r="C58" s="25"/>
      <c r="D58" s="25"/>
      <c r="E58" s="25"/>
      <c r="F58" s="43" t="s">
        <v>25</v>
      </c>
      <c r="G58" s="44">
        <v>200.0</v>
      </c>
      <c r="H58" s="28"/>
      <c r="I58" s="32"/>
      <c r="J58" s="32"/>
      <c r="K58" s="35">
        <f t="shared" si="6"/>
        <v>0</v>
      </c>
      <c r="L58" s="36" t="s">
        <v>26</v>
      </c>
      <c r="M58" s="45">
        <v>6330.0</v>
      </c>
      <c r="N58" s="25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ht="18.75" customHeight="1">
      <c r="A59" s="24"/>
      <c r="B59" s="25"/>
      <c r="C59" s="25"/>
      <c r="D59" s="25"/>
      <c r="E59" s="25"/>
      <c r="F59" s="46" t="s">
        <v>27</v>
      </c>
      <c r="G59" s="34">
        <v>150.0</v>
      </c>
      <c r="H59" s="28"/>
      <c r="I59" s="32"/>
      <c r="J59" s="47"/>
      <c r="K59" s="35">
        <f t="shared" si="6"/>
        <v>0</v>
      </c>
      <c r="L59" s="48" t="s">
        <v>28</v>
      </c>
      <c r="M59" s="49">
        <f>1600+880</f>
        <v>2480</v>
      </c>
      <c r="N59" s="25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ht="18.75" customHeight="1">
      <c r="A60" s="24"/>
      <c r="B60" s="25"/>
      <c r="C60" s="25"/>
      <c r="D60" s="25"/>
      <c r="E60" s="25"/>
      <c r="F60" s="50" t="s">
        <v>29</v>
      </c>
      <c r="G60" s="34">
        <v>100.0</v>
      </c>
      <c r="H60" s="28"/>
      <c r="I60" s="32"/>
      <c r="J60" s="47"/>
      <c r="K60" s="35">
        <f t="shared" si="6"/>
        <v>0</v>
      </c>
      <c r="L60" s="51" t="s">
        <v>30</v>
      </c>
      <c r="M60" s="52"/>
      <c r="N60" s="25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ht="18.75" customHeight="1">
      <c r="A61" s="24"/>
      <c r="B61" s="25"/>
      <c r="C61" s="25"/>
      <c r="D61" s="25"/>
      <c r="E61" s="53"/>
      <c r="F61" s="64" t="s">
        <v>31</v>
      </c>
      <c r="G61" s="65"/>
      <c r="H61" s="32"/>
      <c r="I61" s="29"/>
      <c r="J61" s="29"/>
      <c r="K61" s="35">
        <f>G61*F63:N63</f>
        <v>0</v>
      </c>
      <c r="L61" s="51" t="s">
        <v>32</v>
      </c>
      <c r="M61" s="52"/>
      <c r="N61" s="5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ht="18.75" customHeight="1">
      <c r="A62" s="24"/>
      <c r="B62" s="25"/>
      <c r="C62" s="25"/>
      <c r="D62" s="25"/>
      <c r="E62" s="22">
        <f>N72</f>
        <v>376432</v>
      </c>
      <c r="F62" s="54" t="s">
        <v>33</v>
      </c>
      <c r="G62" s="55"/>
      <c r="H62" s="53"/>
      <c r="I62" s="29"/>
      <c r="J62" s="29"/>
      <c r="K62" s="56">
        <f>SUM(K54:K61)</f>
        <v>24250</v>
      </c>
      <c r="L62" s="41" t="s">
        <v>34</v>
      </c>
      <c r="M62" s="56">
        <f>SUM(M54:M61)</f>
        <v>13110</v>
      </c>
      <c r="N62" s="22">
        <f>E62+K62-M62</f>
        <v>387572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ht="44.25" customHeight="1">
      <c r="A63" s="57"/>
      <c r="B63" s="53"/>
      <c r="C63" s="53"/>
      <c r="D63" s="53"/>
      <c r="E63" s="58" t="s">
        <v>35</v>
      </c>
      <c r="F63" s="59" t="s">
        <v>49</v>
      </c>
      <c r="G63" s="55"/>
      <c r="H63" s="55"/>
      <c r="I63" s="55"/>
      <c r="J63" s="55"/>
      <c r="K63" s="55"/>
      <c r="L63" s="55"/>
      <c r="M63" s="55"/>
      <c r="N63" s="5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ht="18.75" customHeight="1">
      <c r="A64" s="11">
        <v>1168.0</v>
      </c>
      <c r="B64" s="12">
        <v>45668.0</v>
      </c>
      <c r="C64" s="13"/>
      <c r="D64" s="14" t="s">
        <v>50</v>
      </c>
      <c r="E64" s="15" t="s">
        <v>15</v>
      </c>
      <c r="F64" s="16" t="s">
        <v>16</v>
      </c>
      <c r="G64" s="17">
        <v>200.0</v>
      </c>
      <c r="H64" s="18">
        <v>67.0</v>
      </c>
      <c r="I64" s="19"/>
      <c r="J64" s="19"/>
      <c r="K64" s="20">
        <f t="shared" ref="K64:K70" si="7">G64*H64</f>
        <v>13400</v>
      </c>
      <c r="L64" s="21" t="s">
        <v>17</v>
      </c>
      <c r="M64" s="20">
        <v>200.0</v>
      </c>
      <c r="N64" s="22">
        <f>K72-M72</f>
        <v>8350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ht="18.75" customHeight="1">
      <c r="A65" s="24"/>
      <c r="B65" s="25"/>
      <c r="C65" s="25"/>
      <c r="D65" s="25"/>
      <c r="E65" s="25"/>
      <c r="F65" s="26" t="s">
        <v>18</v>
      </c>
      <c r="G65" s="27">
        <v>150.0</v>
      </c>
      <c r="H65" s="28">
        <v>39.0</v>
      </c>
      <c r="I65" s="29"/>
      <c r="J65" s="29"/>
      <c r="K65" s="30">
        <f t="shared" si="7"/>
        <v>5850</v>
      </c>
      <c r="L65" s="31" t="s">
        <v>19</v>
      </c>
      <c r="M65" s="30">
        <v>200.0</v>
      </c>
      <c r="N65" s="32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ht="18.75" customHeight="1">
      <c r="A66" s="24"/>
      <c r="B66" s="25"/>
      <c r="C66" s="25"/>
      <c r="D66" s="25"/>
      <c r="E66" s="25"/>
      <c r="F66" s="33" t="s">
        <v>20</v>
      </c>
      <c r="G66" s="34">
        <v>150.0</v>
      </c>
      <c r="H66" s="28">
        <v>1.0</v>
      </c>
      <c r="I66" s="32"/>
      <c r="J66" s="32"/>
      <c r="K66" s="35">
        <f t="shared" si="7"/>
        <v>150</v>
      </c>
      <c r="L66" s="36" t="s">
        <v>21</v>
      </c>
      <c r="M66" s="37">
        <v>400.0</v>
      </c>
      <c r="N66" s="38" t="s">
        <v>22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ht="18.75" customHeight="1">
      <c r="A67" s="24"/>
      <c r="B67" s="25"/>
      <c r="C67" s="25"/>
      <c r="D67" s="25"/>
      <c r="E67" s="25"/>
      <c r="F67" s="39" t="s">
        <v>23</v>
      </c>
      <c r="G67" s="27">
        <v>100.0</v>
      </c>
      <c r="H67" s="40"/>
      <c r="I67" s="29"/>
      <c r="J67" s="29"/>
      <c r="K67" s="30">
        <f t="shared" si="7"/>
        <v>0</v>
      </c>
      <c r="L67" s="41" t="s">
        <v>24</v>
      </c>
      <c r="M67" s="42">
        <v>3500.0</v>
      </c>
      <c r="N67" s="25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ht="18.75" customHeight="1">
      <c r="A68" s="24"/>
      <c r="B68" s="25"/>
      <c r="C68" s="25"/>
      <c r="D68" s="25"/>
      <c r="E68" s="25"/>
      <c r="F68" s="43" t="s">
        <v>25</v>
      </c>
      <c r="G68" s="44">
        <v>200.0</v>
      </c>
      <c r="H68" s="28">
        <v>1.0</v>
      </c>
      <c r="I68" s="32"/>
      <c r="J68" s="32"/>
      <c r="K68" s="35">
        <f t="shared" si="7"/>
        <v>200</v>
      </c>
      <c r="L68" s="36" t="s">
        <v>26</v>
      </c>
      <c r="M68" s="45">
        <v>4240.0</v>
      </c>
      <c r="N68" s="25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ht="18.75" customHeight="1">
      <c r="A69" s="24"/>
      <c r="B69" s="25"/>
      <c r="C69" s="25"/>
      <c r="D69" s="25"/>
      <c r="E69" s="25"/>
      <c r="F69" s="46" t="s">
        <v>27</v>
      </c>
      <c r="G69" s="34">
        <v>150.0</v>
      </c>
      <c r="H69" s="28"/>
      <c r="I69" s="32"/>
      <c r="J69" s="47"/>
      <c r="K69" s="35">
        <f t="shared" si="7"/>
        <v>0</v>
      </c>
      <c r="L69" s="48" t="s">
        <v>28</v>
      </c>
      <c r="M69" s="49">
        <f>1330+1120+260</f>
        <v>2710</v>
      </c>
      <c r="N69" s="25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ht="18.75" customHeight="1">
      <c r="A70" s="24"/>
      <c r="B70" s="25"/>
      <c r="C70" s="25"/>
      <c r="D70" s="25"/>
      <c r="E70" s="25"/>
      <c r="F70" s="50" t="s">
        <v>29</v>
      </c>
      <c r="G70" s="34">
        <v>100.0</v>
      </c>
      <c r="H70" s="28"/>
      <c r="I70" s="32"/>
      <c r="J70" s="47"/>
      <c r="K70" s="35">
        <f t="shared" si="7"/>
        <v>0</v>
      </c>
      <c r="L70" s="51" t="s">
        <v>30</v>
      </c>
      <c r="M70" s="52"/>
      <c r="N70" s="25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ht="18.75" customHeight="1">
      <c r="A71" s="24"/>
      <c r="B71" s="25"/>
      <c r="C71" s="25"/>
      <c r="D71" s="25"/>
      <c r="E71" s="53"/>
      <c r="F71" s="64" t="s">
        <v>31</v>
      </c>
      <c r="G71" s="65"/>
      <c r="H71" s="32"/>
      <c r="I71" s="29"/>
      <c r="J71" s="29"/>
      <c r="K71" s="35">
        <f>G71*F73:N73</f>
        <v>0</v>
      </c>
      <c r="L71" s="51" t="s">
        <v>32</v>
      </c>
      <c r="M71" s="52"/>
      <c r="N71" s="5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ht="18.75" customHeight="1">
      <c r="A72" s="24"/>
      <c r="B72" s="25"/>
      <c r="C72" s="25"/>
      <c r="D72" s="25"/>
      <c r="E72" s="22">
        <f>N82</f>
        <v>368082</v>
      </c>
      <c r="F72" s="54" t="s">
        <v>33</v>
      </c>
      <c r="G72" s="55"/>
      <c r="H72" s="53"/>
      <c r="I72" s="29"/>
      <c r="J72" s="29"/>
      <c r="K72" s="56">
        <f>SUM(K64:K71)</f>
        <v>19600</v>
      </c>
      <c r="L72" s="41" t="s">
        <v>34</v>
      </c>
      <c r="M72" s="56">
        <f>SUM(M64:M71)</f>
        <v>11250</v>
      </c>
      <c r="N72" s="22">
        <f>E72+K72-M72</f>
        <v>376432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ht="69.0" customHeight="1">
      <c r="A73" s="57"/>
      <c r="B73" s="53"/>
      <c r="C73" s="53"/>
      <c r="D73" s="53"/>
      <c r="E73" s="58" t="s">
        <v>35</v>
      </c>
      <c r="F73" s="59" t="s">
        <v>51</v>
      </c>
      <c r="G73" s="55"/>
      <c r="H73" s="55"/>
      <c r="I73" s="55"/>
      <c r="J73" s="55"/>
      <c r="K73" s="55"/>
      <c r="L73" s="55"/>
      <c r="M73" s="55"/>
      <c r="N73" s="5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ht="18.75" customHeight="1">
      <c r="A74" s="11">
        <v>1167.0</v>
      </c>
      <c r="B74" s="12">
        <v>45661.0</v>
      </c>
      <c r="C74" s="13"/>
      <c r="D74" s="14" t="s">
        <v>52</v>
      </c>
      <c r="E74" s="15" t="s">
        <v>15</v>
      </c>
      <c r="F74" s="16" t="s">
        <v>16</v>
      </c>
      <c r="G74" s="17">
        <v>200.0</v>
      </c>
      <c r="H74" s="18">
        <v>90.0</v>
      </c>
      <c r="I74" s="19"/>
      <c r="J74" s="19"/>
      <c r="K74" s="20">
        <f t="shared" ref="K74:K80" si="8">G74*H74</f>
        <v>18000</v>
      </c>
      <c r="L74" s="21" t="s">
        <v>17</v>
      </c>
      <c r="M74" s="20">
        <v>200.0</v>
      </c>
      <c r="N74" s="22">
        <f>K82-M82</f>
        <v>12155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ht="18.75" customHeight="1">
      <c r="A75" s="24"/>
      <c r="B75" s="25"/>
      <c r="C75" s="25"/>
      <c r="D75" s="25"/>
      <c r="E75" s="25"/>
      <c r="F75" s="26" t="s">
        <v>18</v>
      </c>
      <c r="G75" s="27">
        <v>150.0</v>
      </c>
      <c r="H75" s="28">
        <v>55.0</v>
      </c>
      <c r="I75" s="29"/>
      <c r="J75" s="29"/>
      <c r="K75" s="30">
        <f t="shared" si="8"/>
        <v>8250</v>
      </c>
      <c r="L75" s="31" t="s">
        <v>19</v>
      </c>
      <c r="M75" s="30">
        <v>200.0</v>
      </c>
      <c r="N75" s="32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ht="18.75" customHeight="1">
      <c r="A76" s="24"/>
      <c r="B76" s="25"/>
      <c r="C76" s="25"/>
      <c r="D76" s="25"/>
      <c r="E76" s="25"/>
      <c r="F76" s="33" t="s">
        <v>20</v>
      </c>
      <c r="G76" s="34">
        <v>150.0</v>
      </c>
      <c r="H76" s="28">
        <v>1.0</v>
      </c>
      <c r="I76" s="32"/>
      <c r="J76" s="32"/>
      <c r="K76" s="35">
        <f t="shared" si="8"/>
        <v>150</v>
      </c>
      <c r="L76" s="36" t="s">
        <v>21</v>
      </c>
      <c r="M76" s="37">
        <v>400.0</v>
      </c>
      <c r="N76" s="38" t="s">
        <v>22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ht="18.75" customHeight="1">
      <c r="A77" s="24"/>
      <c r="B77" s="25"/>
      <c r="C77" s="25"/>
      <c r="D77" s="25"/>
      <c r="E77" s="25"/>
      <c r="F77" s="39" t="s">
        <v>23</v>
      </c>
      <c r="G77" s="27">
        <v>100.0</v>
      </c>
      <c r="H77" s="40"/>
      <c r="I77" s="29"/>
      <c r="J77" s="29"/>
      <c r="K77" s="30">
        <f t="shared" si="8"/>
        <v>0</v>
      </c>
      <c r="L77" s="41" t="s">
        <v>24</v>
      </c>
      <c r="M77" s="42">
        <v>3500.0</v>
      </c>
      <c r="N77" s="2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ht="18.75" customHeight="1">
      <c r="A78" s="24"/>
      <c r="B78" s="25"/>
      <c r="C78" s="25"/>
      <c r="D78" s="25"/>
      <c r="E78" s="25"/>
      <c r="F78" s="43" t="s">
        <v>25</v>
      </c>
      <c r="G78" s="44">
        <v>200.0</v>
      </c>
      <c r="H78" s="28">
        <v>2.0</v>
      </c>
      <c r="I78" s="32"/>
      <c r="J78" s="32"/>
      <c r="K78" s="35">
        <f t="shared" si="8"/>
        <v>400</v>
      </c>
      <c r="L78" s="36" t="s">
        <v>26</v>
      </c>
      <c r="M78" s="45">
        <v>5690.0</v>
      </c>
      <c r="N78" s="25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ht="18.75" customHeight="1">
      <c r="A79" s="24"/>
      <c r="B79" s="25"/>
      <c r="C79" s="25"/>
      <c r="D79" s="25"/>
      <c r="E79" s="25"/>
      <c r="F79" s="46" t="s">
        <v>27</v>
      </c>
      <c r="G79" s="34">
        <v>150.0</v>
      </c>
      <c r="H79" s="28"/>
      <c r="I79" s="32"/>
      <c r="J79" s="47"/>
      <c r="K79" s="35">
        <f t="shared" si="8"/>
        <v>0</v>
      </c>
      <c r="L79" s="48" t="s">
        <v>28</v>
      </c>
      <c r="M79" s="49">
        <f>1410+760</f>
        <v>2170</v>
      </c>
      <c r="N79" s="25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ht="18.75" customHeight="1">
      <c r="A80" s="24"/>
      <c r="B80" s="25"/>
      <c r="C80" s="25"/>
      <c r="D80" s="25"/>
      <c r="E80" s="25"/>
      <c r="F80" s="50" t="s">
        <v>29</v>
      </c>
      <c r="G80" s="34">
        <v>100.0</v>
      </c>
      <c r="H80" s="28"/>
      <c r="I80" s="32"/>
      <c r="J80" s="47"/>
      <c r="K80" s="35">
        <f t="shared" si="8"/>
        <v>0</v>
      </c>
      <c r="L80" s="51" t="s">
        <v>30</v>
      </c>
      <c r="M80" s="52">
        <f>45+2200+240</f>
        <v>2485</v>
      </c>
      <c r="N80" s="25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ht="18.75" customHeight="1">
      <c r="A81" s="24"/>
      <c r="B81" s="25"/>
      <c r="C81" s="25"/>
      <c r="D81" s="25"/>
      <c r="E81" s="53"/>
      <c r="F81" s="64" t="s">
        <v>31</v>
      </c>
      <c r="G81" s="65"/>
      <c r="H81" s="32"/>
      <c r="I81" s="29"/>
      <c r="J81" s="29"/>
      <c r="K81" s="35">
        <f>G81*F83:N83</f>
        <v>0</v>
      </c>
      <c r="L81" s="51" t="s">
        <v>32</v>
      </c>
      <c r="M81" s="52"/>
      <c r="N81" s="5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ht="18.75" customHeight="1">
      <c r="A82" s="24"/>
      <c r="B82" s="25"/>
      <c r="C82" s="25"/>
      <c r="D82" s="25"/>
      <c r="E82" s="22">
        <f>N92</f>
        <v>355927</v>
      </c>
      <c r="F82" s="54" t="s">
        <v>33</v>
      </c>
      <c r="G82" s="55"/>
      <c r="H82" s="53"/>
      <c r="I82" s="29"/>
      <c r="J82" s="29"/>
      <c r="K82" s="56">
        <f>SUM(K74:K81)</f>
        <v>26800</v>
      </c>
      <c r="L82" s="41" t="s">
        <v>34</v>
      </c>
      <c r="M82" s="56">
        <f>SUM(M74:M81)</f>
        <v>14645</v>
      </c>
      <c r="N82" s="22">
        <f>E82+K82-M82</f>
        <v>368082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ht="69.75" customHeight="1">
      <c r="A83" s="57"/>
      <c r="B83" s="53"/>
      <c r="C83" s="53"/>
      <c r="D83" s="53"/>
      <c r="E83" s="58" t="s">
        <v>35</v>
      </c>
      <c r="F83" s="59" t="s">
        <v>53</v>
      </c>
      <c r="G83" s="55"/>
      <c r="H83" s="55"/>
      <c r="I83" s="55"/>
      <c r="J83" s="55"/>
      <c r="K83" s="55"/>
      <c r="L83" s="55"/>
      <c r="M83" s="55"/>
      <c r="N83" s="5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ht="18.75" customHeight="1">
      <c r="A84" s="11">
        <v>1166.0</v>
      </c>
      <c r="B84" s="12">
        <v>45654.0</v>
      </c>
      <c r="C84" s="13"/>
      <c r="D84" s="14" t="s">
        <v>54</v>
      </c>
      <c r="E84" s="15" t="s">
        <v>15</v>
      </c>
      <c r="F84" s="16" t="s">
        <v>16</v>
      </c>
      <c r="G84" s="17">
        <v>200.0</v>
      </c>
      <c r="H84" s="18">
        <v>66.0</v>
      </c>
      <c r="I84" s="19"/>
      <c r="J84" s="19"/>
      <c r="K84" s="20">
        <f t="shared" ref="K84:K90" si="9">G84*H84</f>
        <v>13200</v>
      </c>
      <c r="L84" s="21" t="s">
        <v>17</v>
      </c>
      <c r="M84" s="20">
        <v>200.0</v>
      </c>
      <c r="N84" s="22">
        <f>K92-M92</f>
        <v>11490</v>
      </c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ht="18.75" customHeight="1">
      <c r="A85" s="24"/>
      <c r="B85" s="25"/>
      <c r="C85" s="25"/>
      <c r="D85" s="25"/>
      <c r="E85" s="25"/>
      <c r="F85" s="26" t="s">
        <v>18</v>
      </c>
      <c r="G85" s="27">
        <v>150.0</v>
      </c>
      <c r="H85" s="28">
        <v>42.0</v>
      </c>
      <c r="I85" s="29"/>
      <c r="J85" s="29"/>
      <c r="K85" s="30">
        <f t="shared" si="9"/>
        <v>6300</v>
      </c>
      <c r="L85" s="31" t="s">
        <v>19</v>
      </c>
      <c r="M85" s="30">
        <v>200.0</v>
      </c>
      <c r="N85" s="3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ht="18.75" customHeight="1">
      <c r="A86" s="24"/>
      <c r="B86" s="25"/>
      <c r="C86" s="25"/>
      <c r="D86" s="25"/>
      <c r="E86" s="25"/>
      <c r="F86" s="33" t="s">
        <v>20</v>
      </c>
      <c r="G86" s="34">
        <v>150.0</v>
      </c>
      <c r="H86" s="28"/>
      <c r="I86" s="32"/>
      <c r="J86" s="32"/>
      <c r="K86" s="35">
        <f t="shared" si="9"/>
        <v>0</v>
      </c>
      <c r="L86" s="36" t="s">
        <v>21</v>
      </c>
      <c r="M86" s="37">
        <v>300.0</v>
      </c>
      <c r="N86" s="38" t="s">
        <v>22</v>
      </c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ht="18.75" customHeight="1">
      <c r="A87" s="24"/>
      <c r="B87" s="25"/>
      <c r="C87" s="25"/>
      <c r="D87" s="25"/>
      <c r="E87" s="25"/>
      <c r="F87" s="39" t="s">
        <v>23</v>
      </c>
      <c r="G87" s="27">
        <v>100.0</v>
      </c>
      <c r="H87" s="40"/>
      <c r="I87" s="29"/>
      <c r="J87" s="29"/>
      <c r="K87" s="30">
        <f t="shared" si="9"/>
        <v>0</v>
      </c>
      <c r="L87" s="41" t="s">
        <v>24</v>
      </c>
      <c r="M87" s="42">
        <v>3500.0</v>
      </c>
      <c r="N87" s="25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ht="18.75" customHeight="1">
      <c r="A88" s="24"/>
      <c r="B88" s="25"/>
      <c r="C88" s="25"/>
      <c r="D88" s="25"/>
      <c r="E88" s="25"/>
      <c r="F88" s="43" t="s">
        <v>25</v>
      </c>
      <c r="G88" s="44">
        <v>200.0</v>
      </c>
      <c r="H88" s="28">
        <v>1.0</v>
      </c>
      <c r="I88" s="32"/>
      <c r="J88" s="32"/>
      <c r="K88" s="35">
        <f t="shared" si="9"/>
        <v>200</v>
      </c>
      <c r="L88" s="36" t="s">
        <v>26</v>
      </c>
      <c r="M88" s="45">
        <v>3290.0</v>
      </c>
      <c r="N88" s="25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ht="18.75" customHeight="1">
      <c r="A89" s="24"/>
      <c r="B89" s="25"/>
      <c r="C89" s="25"/>
      <c r="D89" s="25"/>
      <c r="E89" s="25"/>
      <c r="F89" s="46" t="s">
        <v>27</v>
      </c>
      <c r="G89" s="34">
        <v>150.0</v>
      </c>
      <c r="H89" s="28">
        <v>2.0</v>
      </c>
      <c r="I89" s="32"/>
      <c r="J89" s="47"/>
      <c r="K89" s="35">
        <f t="shared" si="9"/>
        <v>300</v>
      </c>
      <c r="L89" s="48" t="s">
        <v>28</v>
      </c>
      <c r="M89" s="49">
        <f>1160+60</f>
        <v>1220</v>
      </c>
      <c r="N89" s="25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ht="18.75" customHeight="1">
      <c r="A90" s="24"/>
      <c r="B90" s="25"/>
      <c r="C90" s="25"/>
      <c r="D90" s="25"/>
      <c r="E90" s="25"/>
      <c r="F90" s="62" t="s">
        <v>42</v>
      </c>
      <c r="G90" s="34">
        <v>100.0</v>
      </c>
      <c r="H90" s="28">
        <v>2.0</v>
      </c>
      <c r="I90" s="32"/>
      <c r="J90" s="47"/>
      <c r="K90" s="35">
        <f t="shared" si="9"/>
        <v>200</v>
      </c>
      <c r="L90" s="51" t="s">
        <v>30</v>
      </c>
      <c r="M90" s="52"/>
      <c r="N90" s="25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ht="18.75" customHeight="1">
      <c r="A91" s="24"/>
      <c r="B91" s="25"/>
      <c r="C91" s="25"/>
      <c r="D91" s="25"/>
      <c r="E91" s="53"/>
      <c r="F91" s="64" t="s">
        <v>31</v>
      </c>
      <c r="G91" s="65"/>
      <c r="H91" s="32"/>
      <c r="I91" s="29"/>
      <c r="J91" s="29"/>
      <c r="K91" s="35">
        <f>G91*F93:N93</f>
        <v>0</v>
      </c>
      <c r="L91" s="51" t="s">
        <v>32</v>
      </c>
      <c r="M91" s="52"/>
      <c r="N91" s="5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ht="18.75" customHeight="1">
      <c r="A92" s="24"/>
      <c r="B92" s="25"/>
      <c r="C92" s="25"/>
      <c r="D92" s="25"/>
      <c r="E92" s="22">
        <f>N102</f>
        <v>344437</v>
      </c>
      <c r="F92" s="54" t="s">
        <v>33</v>
      </c>
      <c r="G92" s="55"/>
      <c r="H92" s="53"/>
      <c r="I92" s="29"/>
      <c r="J92" s="29"/>
      <c r="K92" s="56">
        <f>SUM(K84:K91)</f>
        <v>20200</v>
      </c>
      <c r="L92" s="41" t="s">
        <v>34</v>
      </c>
      <c r="M92" s="56">
        <f>SUM(M84:M91)</f>
        <v>8710</v>
      </c>
      <c r="N92" s="22">
        <f>E92+K92-M92</f>
        <v>355927</v>
      </c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ht="57.75" customHeight="1">
      <c r="A93" s="57"/>
      <c r="B93" s="53"/>
      <c r="C93" s="53"/>
      <c r="D93" s="53"/>
      <c r="E93" s="58" t="s">
        <v>35</v>
      </c>
      <c r="F93" s="59" t="s">
        <v>55</v>
      </c>
      <c r="G93" s="55"/>
      <c r="H93" s="55"/>
      <c r="I93" s="55"/>
      <c r="J93" s="55"/>
      <c r="K93" s="55"/>
      <c r="L93" s="55"/>
      <c r="M93" s="55"/>
      <c r="N93" s="5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ht="18.75" customHeight="1">
      <c r="A94" s="11">
        <v>1165.0</v>
      </c>
      <c r="B94" s="12">
        <v>45647.0</v>
      </c>
      <c r="C94" s="13"/>
      <c r="D94" s="14" t="s">
        <v>56</v>
      </c>
      <c r="E94" s="15" t="s">
        <v>15</v>
      </c>
      <c r="F94" s="16" t="s">
        <v>16</v>
      </c>
      <c r="G94" s="17">
        <v>200.0</v>
      </c>
      <c r="H94" s="18">
        <v>73.0</v>
      </c>
      <c r="I94" s="19"/>
      <c r="J94" s="19"/>
      <c r="K94" s="20">
        <f t="shared" ref="K94:K100" si="10">G94*H94</f>
        <v>14600</v>
      </c>
      <c r="L94" s="21" t="s">
        <v>17</v>
      </c>
      <c r="M94" s="20">
        <v>200.0</v>
      </c>
      <c r="N94" s="22">
        <f>K102-M102</f>
        <v>8005</v>
      </c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ht="18.75" customHeight="1">
      <c r="A95" s="24"/>
      <c r="B95" s="25"/>
      <c r="C95" s="25"/>
      <c r="D95" s="25"/>
      <c r="E95" s="25"/>
      <c r="F95" s="26" t="s">
        <v>18</v>
      </c>
      <c r="G95" s="27">
        <v>150.0</v>
      </c>
      <c r="H95" s="28">
        <v>34.0</v>
      </c>
      <c r="I95" s="29"/>
      <c r="J95" s="29"/>
      <c r="K95" s="30">
        <f t="shared" si="10"/>
        <v>5100</v>
      </c>
      <c r="L95" s="31" t="s">
        <v>19</v>
      </c>
      <c r="M95" s="30">
        <v>200.0</v>
      </c>
      <c r="N95" s="3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ht="18.75" customHeight="1">
      <c r="A96" s="24"/>
      <c r="B96" s="25"/>
      <c r="C96" s="25"/>
      <c r="D96" s="25"/>
      <c r="E96" s="25"/>
      <c r="F96" s="33" t="s">
        <v>20</v>
      </c>
      <c r="G96" s="34">
        <v>150.0</v>
      </c>
      <c r="H96" s="28"/>
      <c r="I96" s="32"/>
      <c r="J96" s="32"/>
      <c r="K96" s="35">
        <f t="shared" si="10"/>
        <v>0</v>
      </c>
      <c r="L96" s="36" t="s">
        <v>21</v>
      </c>
      <c r="M96" s="37">
        <v>400.0</v>
      </c>
      <c r="N96" s="38" t="s">
        <v>22</v>
      </c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ht="18.75" customHeight="1">
      <c r="A97" s="24"/>
      <c r="B97" s="25"/>
      <c r="C97" s="25"/>
      <c r="D97" s="25"/>
      <c r="E97" s="25"/>
      <c r="F97" s="39" t="s">
        <v>23</v>
      </c>
      <c r="G97" s="27">
        <v>100.0</v>
      </c>
      <c r="H97" s="40">
        <v>1.0</v>
      </c>
      <c r="I97" s="29"/>
      <c r="J97" s="29"/>
      <c r="K97" s="30">
        <f t="shared" si="10"/>
        <v>100</v>
      </c>
      <c r="L97" s="41" t="s">
        <v>24</v>
      </c>
      <c r="M97" s="42">
        <v>3500.0</v>
      </c>
      <c r="N97" s="25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ht="18.75" customHeight="1">
      <c r="A98" s="24"/>
      <c r="B98" s="25"/>
      <c r="C98" s="25"/>
      <c r="D98" s="25"/>
      <c r="E98" s="25"/>
      <c r="F98" s="43" t="s">
        <v>25</v>
      </c>
      <c r="G98" s="44">
        <v>200.0</v>
      </c>
      <c r="H98" s="28"/>
      <c r="I98" s="32"/>
      <c r="J98" s="32"/>
      <c r="K98" s="35">
        <f t="shared" si="10"/>
        <v>0</v>
      </c>
      <c r="L98" s="36" t="s">
        <v>26</v>
      </c>
      <c r="M98" s="45">
        <v>4960.0</v>
      </c>
      <c r="N98" s="25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ht="18.75" customHeight="1">
      <c r="A99" s="24"/>
      <c r="B99" s="25"/>
      <c r="C99" s="25"/>
      <c r="D99" s="25"/>
      <c r="E99" s="25"/>
      <c r="F99" s="46" t="s">
        <v>27</v>
      </c>
      <c r="G99" s="34">
        <v>150.0</v>
      </c>
      <c r="H99" s="28"/>
      <c r="I99" s="32"/>
      <c r="J99" s="47"/>
      <c r="K99" s="35">
        <f t="shared" si="10"/>
        <v>0</v>
      </c>
      <c r="L99" s="48" t="s">
        <v>28</v>
      </c>
      <c r="M99" s="49">
        <f>1330+1080+125</f>
        <v>2535</v>
      </c>
      <c r="N99" s="25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ht="18.75" customHeight="1">
      <c r="A100" s="24"/>
      <c r="B100" s="25"/>
      <c r="C100" s="25"/>
      <c r="D100" s="25"/>
      <c r="E100" s="25"/>
      <c r="F100" s="50" t="s">
        <v>29</v>
      </c>
      <c r="G100" s="34"/>
      <c r="H100" s="28"/>
      <c r="I100" s="32"/>
      <c r="J100" s="47"/>
      <c r="K100" s="35">
        <f t="shared" si="10"/>
        <v>0</v>
      </c>
      <c r="L100" s="51" t="s">
        <v>30</v>
      </c>
      <c r="M100" s="52"/>
      <c r="N100" s="25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ht="18.75" customHeight="1">
      <c r="A101" s="24"/>
      <c r="B101" s="25"/>
      <c r="C101" s="25"/>
      <c r="D101" s="25"/>
      <c r="E101" s="53"/>
      <c r="F101" s="64" t="s">
        <v>31</v>
      </c>
      <c r="G101" s="65"/>
      <c r="H101" s="32"/>
      <c r="I101" s="29"/>
      <c r="J101" s="29"/>
      <c r="K101" s="35">
        <f>G101*F103:N103</f>
        <v>0</v>
      </c>
      <c r="L101" s="51" t="s">
        <v>32</v>
      </c>
      <c r="M101" s="52"/>
      <c r="N101" s="5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ht="18.75" customHeight="1">
      <c r="A102" s="24"/>
      <c r="B102" s="25"/>
      <c r="C102" s="25"/>
      <c r="D102" s="25"/>
      <c r="E102" s="22">
        <f>N112</f>
        <v>336432</v>
      </c>
      <c r="F102" s="54" t="s">
        <v>33</v>
      </c>
      <c r="G102" s="55"/>
      <c r="H102" s="53"/>
      <c r="I102" s="29"/>
      <c r="J102" s="29"/>
      <c r="K102" s="56">
        <f>SUM(K94:K101)</f>
        <v>19800</v>
      </c>
      <c r="L102" s="41" t="s">
        <v>34</v>
      </c>
      <c r="M102" s="56">
        <f>SUM(M94:M101)</f>
        <v>11795</v>
      </c>
      <c r="N102" s="22">
        <f>E102+K102-M102</f>
        <v>344437</v>
      </c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ht="82.5" customHeight="1">
      <c r="A103" s="57"/>
      <c r="B103" s="53"/>
      <c r="C103" s="53"/>
      <c r="D103" s="53"/>
      <c r="E103" s="58" t="s">
        <v>35</v>
      </c>
      <c r="F103" s="59" t="s">
        <v>57</v>
      </c>
      <c r="G103" s="55"/>
      <c r="H103" s="55"/>
      <c r="I103" s="55"/>
      <c r="J103" s="55"/>
      <c r="K103" s="55"/>
      <c r="L103" s="55"/>
      <c r="M103" s="55"/>
      <c r="N103" s="5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ht="18.75" customHeight="1">
      <c r="A104" s="11">
        <v>1164.0</v>
      </c>
      <c r="B104" s="12">
        <v>45640.0</v>
      </c>
      <c r="C104" s="13"/>
      <c r="D104" s="14" t="s">
        <v>58</v>
      </c>
      <c r="E104" s="15" t="s">
        <v>15</v>
      </c>
      <c r="F104" s="16" t="s">
        <v>16</v>
      </c>
      <c r="G104" s="17">
        <v>200.0</v>
      </c>
      <c r="H104" s="18">
        <v>79.0</v>
      </c>
      <c r="I104" s="19"/>
      <c r="J104" s="19"/>
      <c r="K104" s="20">
        <f t="shared" ref="K104:K110" si="11">G104*H104</f>
        <v>15800</v>
      </c>
      <c r="L104" s="21" t="s">
        <v>17</v>
      </c>
      <c r="M104" s="20">
        <v>200.0</v>
      </c>
      <c r="N104" s="22">
        <f>K112-M112</f>
        <v>10285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ht="18.75" customHeight="1">
      <c r="A105" s="24"/>
      <c r="B105" s="25"/>
      <c r="C105" s="25"/>
      <c r="D105" s="25"/>
      <c r="E105" s="25"/>
      <c r="F105" s="26" t="s">
        <v>18</v>
      </c>
      <c r="G105" s="27">
        <v>150.0</v>
      </c>
      <c r="H105" s="28">
        <v>46.0</v>
      </c>
      <c r="I105" s="29"/>
      <c r="J105" s="29"/>
      <c r="K105" s="30">
        <f t="shared" si="11"/>
        <v>6900</v>
      </c>
      <c r="L105" s="31" t="s">
        <v>19</v>
      </c>
      <c r="M105" s="30">
        <v>200.0</v>
      </c>
      <c r="N105" s="32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ht="18.75" customHeight="1">
      <c r="A106" s="24"/>
      <c r="B106" s="25"/>
      <c r="C106" s="25"/>
      <c r="D106" s="25"/>
      <c r="E106" s="25"/>
      <c r="F106" s="33" t="s">
        <v>20</v>
      </c>
      <c r="G106" s="34">
        <v>150.0</v>
      </c>
      <c r="H106" s="28">
        <v>1.0</v>
      </c>
      <c r="I106" s="32"/>
      <c r="J106" s="32"/>
      <c r="K106" s="35">
        <f t="shared" si="11"/>
        <v>150</v>
      </c>
      <c r="L106" s="36" t="s">
        <v>21</v>
      </c>
      <c r="M106" s="37">
        <v>400.0</v>
      </c>
      <c r="N106" s="38" t="s">
        <v>22</v>
      </c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ht="18.75" customHeight="1">
      <c r="A107" s="24"/>
      <c r="B107" s="25"/>
      <c r="C107" s="25"/>
      <c r="D107" s="25"/>
      <c r="E107" s="25"/>
      <c r="F107" s="39" t="s">
        <v>23</v>
      </c>
      <c r="G107" s="27">
        <v>100.0</v>
      </c>
      <c r="H107" s="40"/>
      <c r="I107" s="29"/>
      <c r="J107" s="29"/>
      <c r="K107" s="30">
        <f t="shared" si="11"/>
        <v>0</v>
      </c>
      <c r="L107" s="41" t="s">
        <v>24</v>
      </c>
      <c r="M107" s="42">
        <v>3500.0</v>
      </c>
      <c r="N107" s="25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ht="18.75" customHeight="1">
      <c r="A108" s="24"/>
      <c r="B108" s="25"/>
      <c r="C108" s="25"/>
      <c r="D108" s="25"/>
      <c r="E108" s="25"/>
      <c r="F108" s="43" t="s">
        <v>25</v>
      </c>
      <c r="G108" s="44">
        <v>200.0</v>
      </c>
      <c r="H108" s="28"/>
      <c r="I108" s="32"/>
      <c r="J108" s="32"/>
      <c r="K108" s="35">
        <f t="shared" si="11"/>
        <v>0</v>
      </c>
      <c r="L108" s="36" t="s">
        <v>26</v>
      </c>
      <c r="M108" s="45">
        <v>4720.0</v>
      </c>
      <c r="N108" s="25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ht="18.75" customHeight="1">
      <c r="A109" s="24"/>
      <c r="B109" s="25"/>
      <c r="C109" s="25"/>
      <c r="D109" s="25"/>
      <c r="E109" s="25"/>
      <c r="F109" s="46" t="s">
        <v>27</v>
      </c>
      <c r="G109" s="34">
        <v>150.0</v>
      </c>
      <c r="H109" s="28">
        <v>2.0</v>
      </c>
      <c r="I109" s="32"/>
      <c r="J109" s="47"/>
      <c r="K109" s="35">
        <f t="shared" si="11"/>
        <v>300</v>
      </c>
      <c r="L109" s="48" t="s">
        <v>28</v>
      </c>
      <c r="M109" s="49">
        <f>1230+700+435+280</f>
        <v>2645</v>
      </c>
      <c r="N109" s="25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ht="18.75" customHeight="1">
      <c r="A110" s="24"/>
      <c r="B110" s="25"/>
      <c r="C110" s="25"/>
      <c r="D110" s="25"/>
      <c r="E110" s="25"/>
      <c r="F110" s="50" t="s">
        <v>29</v>
      </c>
      <c r="G110" s="34"/>
      <c r="H110" s="28"/>
      <c r="I110" s="32"/>
      <c r="J110" s="47"/>
      <c r="K110" s="35">
        <f t="shared" si="11"/>
        <v>0</v>
      </c>
      <c r="L110" s="51" t="s">
        <v>30</v>
      </c>
      <c r="M110" s="52">
        <f>1200</f>
        <v>1200</v>
      </c>
      <c r="N110" s="25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ht="18.75" customHeight="1">
      <c r="A111" s="24"/>
      <c r="B111" s="25"/>
      <c r="C111" s="25"/>
      <c r="D111" s="25"/>
      <c r="E111" s="53"/>
      <c r="F111" s="64" t="s">
        <v>31</v>
      </c>
      <c r="G111" s="65"/>
      <c r="H111" s="32"/>
      <c r="I111" s="29"/>
      <c r="J111" s="29"/>
      <c r="K111" s="35">
        <f>G111*F113:N113</f>
        <v>0</v>
      </c>
      <c r="L111" s="51" t="s">
        <v>32</v>
      </c>
      <c r="M111" s="52"/>
      <c r="N111" s="5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ht="18.75" customHeight="1">
      <c r="A112" s="24"/>
      <c r="B112" s="25"/>
      <c r="C112" s="25"/>
      <c r="D112" s="25"/>
      <c r="E112" s="22">
        <f>N122</f>
        <v>326147</v>
      </c>
      <c r="F112" s="54" t="s">
        <v>33</v>
      </c>
      <c r="G112" s="55"/>
      <c r="H112" s="53"/>
      <c r="I112" s="29"/>
      <c r="J112" s="29"/>
      <c r="K112" s="56">
        <f>SUM(K104:K111)</f>
        <v>23150</v>
      </c>
      <c r="L112" s="41" t="s">
        <v>34</v>
      </c>
      <c r="M112" s="56">
        <f>SUM(M104:M111)</f>
        <v>12865</v>
      </c>
      <c r="N112" s="22">
        <f>E112+K112-M112</f>
        <v>336432</v>
      </c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ht="75.75" customHeight="1">
      <c r="A113" s="57"/>
      <c r="B113" s="53"/>
      <c r="C113" s="53"/>
      <c r="D113" s="53"/>
      <c r="E113" s="58" t="s">
        <v>35</v>
      </c>
      <c r="F113" s="59" t="s">
        <v>59</v>
      </c>
      <c r="G113" s="55"/>
      <c r="H113" s="55"/>
      <c r="I113" s="55"/>
      <c r="J113" s="55"/>
      <c r="K113" s="55"/>
      <c r="L113" s="55"/>
      <c r="M113" s="55"/>
      <c r="N113" s="5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ht="18.75" customHeight="1">
      <c r="A114" s="11">
        <v>1163.0</v>
      </c>
      <c r="B114" s="12">
        <v>45633.0</v>
      </c>
      <c r="C114" s="13"/>
      <c r="D114" s="14" t="s">
        <v>60</v>
      </c>
      <c r="E114" s="15" t="s">
        <v>15</v>
      </c>
      <c r="F114" s="16" t="s">
        <v>16</v>
      </c>
      <c r="G114" s="17">
        <v>200.0</v>
      </c>
      <c r="H114" s="18">
        <v>69.0</v>
      </c>
      <c r="I114" s="19"/>
      <c r="J114" s="19"/>
      <c r="K114" s="20">
        <f t="shared" ref="K114:K120" si="12">G114*H114</f>
        <v>13800</v>
      </c>
      <c r="L114" s="21" t="s">
        <v>17</v>
      </c>
      <c r="M114" s="20">
        <v>200.0</v>
      </c>
      <c r="N114" s="22">
        <f>K122-M122</f>
        <v>6680</v>
      </c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ht="18.75" customHeight="1">
      <c r="A115" s="24"/>
      <c r="B115" s="25"/>
      <c r="C115" s="25"/>
      <c r="D115" s="25"/>
      <c r="E115" s="25"/>
      <c r="F115" s="26" t="s">
        <v>18</v>
      </c>
      <c r="G115" s="27">
        <v>150.0</v>
      </c>
      <c r="H115" s="28">
        <v>45.0</v>
      </c>
      <c r="I115" s="29"/>
      <c r="J115" s="29"/>
      <c r="K115" s="30">
        <f t="shared" si="12"/>
        <v>6750</v>
      </c>
      <c r="L115" s="31" t="s">
        <v>19</v>
      </c>
      <c r="M115" s="30">
        <v>200.0</v>
      </c>
      <c r="N115" s="3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ht="18.75" customHeight="1">
      <c r="A116" s="24"/>
      <c r="B116" s="25"/>
      <c r="C116" s="25"/>
      <c r="D116" s="25"/>
      <c r="E116" s="25"/>
      <c r="F116" s="33" t="s">
        <v>20</v>
      </c>
      <c r="G116" s="34">
        <v>150.0</v>
      </c>
      <c r="H116" s="28">
        <v>1.0</v>
      </c>
      <c r="I116" s="32"/>
      <c r="J116" s="32"/>
      <c r="K116" s="35">
        <f t="shared" si="12"/>
        <v>150</v>
      </c>
      <c r="L116" s="36" t="s">
        <v>21</v>
      </c>
      <c r="M116" s="37">
        <v>400.0</v>
      </c>
      <c r="N116" s="38" t="s">
        <v>22</v>
      </c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ht="18.75" customHeight="1">
      <c r="A117" s="24"/>
      <c r="B117" s="25"/>
      <c r="C117" s="25"/>
      <c r="D117" s="25"/>
      <c r="E117" s="25"/>
      <c r="F117" s="39" t="s">
        <v>23</v>
      </c>
      <c r="G117" s="27">
        <v>100.0</v>
      </c>
      <c r="H117" s="40"/>
      <c r="I117" s="29"/>
      <c r="J117" s="29"/>
      <c r="K117" s="30">
        <f t="shared" si="12"/>
        <v>0</v>
      </c>
      <c r="L117" s="41" t="s">
        <v>24</v>
      </c>
      <c r="M117" s="42">
        <v>3500.0</v>
      </c>
      <c r="N117" s="25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ht="18.75" customHeight="1">
      <c r="A118" s="24"/>
      <c r="B118" s="25"/>
      <c r="C118" s="25"/>
      <c r="D118" s="25"/>
      <c r="E118" s="25"/>
      <c r="F118" s="43" t="s">
        <v>25</v>
      </c>
      <c r="G118" s="44">
        <v>200.0</v>
      </c>
      <c r="H118" s="28"/>
      <c r="I118" s="32"/>
      <c r="J118" s="32"/>
      <c r="K118" s="35">
        <f t="shared" si="12"/>
        <v>0</v>
      </c>
      <c r="L118" s="36" t="s">
        <v>26</v>
      </c>
      <c r="M118" s="45">
        <v>4790.0</v>
      </c>
      <c r="N118" s="25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ht="18.75" customHeight="1">
      <c r="A119" s="24"/>
      <c r="B119" s="25"/>
      <c r="C119" s="25"/>
      <c r="D119" s="25"/>
      <c r="E119" s="25"/>
      <c r="F119" s="46" t="s">
        <v>27</v>
      </c>
      <c r="G119" s="34">
        <v>150.0</v>
      </c>
      <c r="H119" s="28"/>
      <c r="I119" s="32"/>
      <c r="J119" s="47"/>
      <c r="K119" s="35">
        <f t="shared" si="12"/>
        <v>0</v>
      </c>
      <c r="L119" s="48" t="s">
        <v>28</v>
      </c>
      <c r="M119" s="49">
        <f>1070+880</f>
        <v>1950</v>
      </c>
      <c r="N119" s="25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ht="18.75" customHeight="1">
      <c r="A120" s="24"/>
      <c r="B120" s="25"/>
      <c r="C120" s="25"/>
      <c r="D120" s="25"/>
      <c r="E120" s="25"/>
      <c r="F120" s="62" t="s">
        <v>61</v>
      </c>
      <c r="G120" s="34">
        <v>100.0</v>
      </c>
      <c r="H120" s="28">
        <v>2.0</v>
      </c>
      <c r="I120" s="32"/>
      <c r="J120" s="47"/>
      <c r="K120" s="35">
        <f t="shared" si="12"/>
        <v>200</v>
      </c>
      <c r="L120" s="51" t="s">
        <v>30</v>
      </c>
      <c r="M120" s="52">
        <f>1980+1200</f>
        <v>3180</v>
      </c>
      <c r="N120" s="25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ht="18.75" customHeight="1">
      <c r="A121" s="24"/>
      <c r="B121" s="25"/>
      <c r="C121" s="25"/>
      <c r="D121" s="25"/>
      <c r="E121" s="53"/>
      <c r="F121" s="64" t="s">
        <v>31</v>
      </c>
      <c r="G121" s="65"/>
      <c r="H121" s="32"/>
      <c r="I121" s="29"/>
      <c r="J121" s="29"/>
      <c r="K121" s="35">
        <f>G121*F123:N123</f>
        <v>0</v>
      </c>
      <c r="L121" s="51" t="s">
        <v>32</v>
      </c>
      <c r="M121" s="52"/>
      <c r="N121" s="5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ht="18.75" customHeight="1">
      <c r="A122" s="24"/>
      <c r="B122" s="25"/>
      <c r="C122" s="25"/>
      <c r="D122" s="25"/>
      <c r="E122" s="22">
        <f>N132</f>
        <v>319467</v>
      </c>
      <c r="F122" s="54" t="s">
        <v>33</v>
      </c>
      <c r="G122" s="55"/>
      <c r="H122" s="53"/>
      <c r="I122" s="29"/>
      <c r="J122" s="29"/>
      <c r="K122" s="56">
        <f>SUM(K114:K121)</f>
        <v>20900</v>
      </c>
      <c r="L122" s="41" t="s">
        <v>34</v>
      </c>
      <c r="M122" s="56">
        <f>SUM(M114:M121)</f>
        <v>14220</v>
      </c>
      <c r="N122" s="22">
        <f>E122+K122-M122</f>
        <v>326147</v>
      </c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ht="66.75" customHeight="1">
      <c r="A123" s="57"/>
      <c r="B123" s="53"/>
      <c r="C123" s="53"/>
      <c r="D123" s="53"/>
      <c r="E123" s="58" t="s">
        <v>35</v>
      </c>
      <c r="F123" s="59" t="s">
        <v>62</v>
      </c>
      <c r="G123" s="55"/>
      <c r="H123" s="55"/>
      <c r="I123" s="55"/>
      <c r="J123" s="55"/>
      <c r="K123" s="55"/>
      <c r="L123" s="55"/>
      <c r="M123" s="55"/>
      <c r="N123" s="5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ht="18.75" customHeight="1">
      <c r="A124" s="11">
        <v>1162.0</v>
      </c>
      <c r="B124" s="12">
        <v>45626.0</v>
      </c>
      <c r="C124" s="13"/>
      <c r="D124" s="14" t="s">
        <v>63</v>
      </c>
      <c r="E124" s="15" t="s">
        <v>15</v>
      </c>
      <c r="F124" s="16" t="s">
        <v>16</v>
      </c>
      <c r="G124" s="17">
        <v>200.0</v>
      </c>
      <c r="H124" s="18"/>
      <c r="I124" s="19"/>
      <c r="J124" s="19"/>
      <c r="K124" s="20">
        <f t="shared" ref="K124:K130" si="13">G124*H124</f>
        <v>0</v>
      </c>
      <c r="L124" s="21" t="s">
        <v>17</v>
      </c>
      <c r="M124" s="20"/>
      <c r="N124" s="22">
        <f>K132-M132</f>
        <v>21656</v>
      </c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ht="18.75" customHeight="1">
      <c r="A125" s="24"/>
      <c r="B125" s="25"/>
      <c r="C125" s="25"/>
      <c r="D125" s="25"/>
      <c r="E125" s="25"/>
      <c r="F125" s="26" t="s">
        <v>18</v>
      </c>
      <c r="G125" s="27">
        <v>150.0</v>
      </c>
      <c r="H125" s="28"/>
      <c r="I125" s="29"/>
      <c r="J125" s="29"/>
      <c r="K125" s="30">
        <f t="shared" si="13"/>
        <v>0</v>
      </c>
      <c r="L125" s="31" t="s">
        <v>19</v>
      </c>
      <c r="M125" s="30"/>
      <c r="N125" s="32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ht="18.75" customHeight="1">
      <c r="A126" s="24"/>
      <c r="B126" s="25"/>
      <c r="C126" s="25"/>
      <c r="D126" s="25"/>
      <c r="E126" s="25"/>
      <c r="F126" s="33" t="s">
        <v>20</v>
      </c>
      <c r="G126" s="34">
        <v>150.0</v>
      </c>
      <c r="H126" s="28"/>
      <c r="I126" s="32"/>
      <c r="J126" s="32"/>
      <c r="K126" s="35">
        <f t="shared" si="13"/>
        <v>0</v>
      </c>
      <c r="L126" s="36" t="s">
        <v>21</v>
      </c>
      <c r="M126" s="37"/>
      <c r="N126" s="38" t="s">
        <v>22</v>
      </c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ht="18.75" customHeight="1">
      <c r="A127" s="24"/>
      <c r="B127" s="25"/>
      <c r="C127" s="25"/>
      <c r="D127" s="25"/>
      <c r="E127" s="25"/>
      <c r="F127" s="39" t="s">
        <v>23</v>
      </c>
      <c r="G127" s="27">
        <v>100.0</v>
      </c>
      <c r="H127" s="40"/>
      <c r="I127" s="29"/>
      <c r="J127" s="29"/>
      <c r="K127" s="30">
        <f t="shared" si="13"/>
        <v>0</v>
      </c>
      <c r="L127" s="41" t="s">
        <v>24</v>
      </c>
      <c r="M127" s="42"/>
      <c r="N127" s="25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ht="18.75" customHeight="1">
      <c r="A128" s="24"/>
      <c r="B128" s="25"/>
      <c r="C128" s="25"/>
      <c r="D128" s="25"/>
      <c r="E128" s="25"/>
      <c r="F128" s="43" t="s">
        <v>25</v>
      </c>
      <c r="G128" s="44">
        <v>200.0</v>
      </c>
      <c r="H128" s="28"/>
      <c r="I128" s="32"/>
      <c r="J128" s="32"/>
      <c r="K128" s="35">
        <f t="shared" si="13"/>
        <v>0</v>
      </c>
      <c r="L128" s="36" t="s">
        <v>26</v>
      </c>
      <c r="M128" s="45"/>
      <c r="N128" s="25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ht="18.75" customHeight="1">
      <c r="A129" s="24"/>
      <c r="B129" s="25"/>
      <c r="C129" s="25"/>
      <c r="D129" s="25"/>
      <c r="E129" s="25"/>
      <c r="F129" s="46" t="s">
        <v>27</v>
      </c>
      <c r="G129" s="34">
        <v>150.0</v>
      </c>
      <c r="H129" s="28"/>
      <c r="I129" s="32"/>
      <c r="J129" s="47"/>
      <c r="K129" s="35">
        <f t="shared" si="13"/>
        <v>0</v>
      </c>
      <c r="L129" s="48" t="s">
        <v>28</v>
      </c>
      <c r="M129" s="49"/>
      <c r="N129" s="25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ht="18.75" customHeight="1">
      <c r="A130" s="24"/>
      <c r="B130" s="25"/>
      <c r="C130" s="25"/>
      <c r="D130" s="25"/>
      <c r="E130" s="25"/>
      <c r="F130" s="50" t="s">
        <v>29</v>
      </c>
      <c r="G130" s="34">
        <v>600.0</v>
      </c>
      <c r="H130" s="28"/>
      <c r="I130" s="32"/>
      <c r="J130" s="47"/>
      <c r="K130" s="35">
        <f t="shared" si="13"/>
        <v>0</v>
      </c>
      <c r="L130" s="51" t="s">
        <v>30</v>
      </c>
      <c r="M130" s="52"/>
      <c r="N130" s="25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ht="18.75" customHeight="1">
      <c r="A131" s="24"/>
      <c r="B131" s="25"/>
      <c r="C131" s="25"/>
      <c r="D131" s="25"/>
      <c r="E131" s="53"/>
      <c r="F131" s="64" t="s">
        <v>31</v>
      </c>
      <c r="G131" s="65"/>
      <c r="H131" s="32"/>
      <c r="I131" s="29"/>
      <c r="J131" s="29"/>
      <c r="K131" s="35">
        <f>G131*F133:N133</f>
        <v>0</v>
      </c>
      <c r="L131" s="51" t="s">
        <v>32</v>
      </c>
      <c r="M131" s="52"/>
      <c r="N131" s="5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ht="18.75" customHeight="1">
      <c r="A132" s="24"/>
      <c r="B132" s="25"/>
      <c r="C132" s="25"/>
      <c r="D132" s="25"/>
      <c r="E132" s="22">
        <f>N142</f>
        <v>297811</v>
      </c>
      <c r="F132" s="54" t="s">
        <v>33</v>
      </c>
      <c r="G132" s="55"/>
      <c r="H132" s="53"/>
      <c r="I132" s="29"/>
      <c r="J132" s="29"/>
      <c r="K132" s="66">
        <v>527850.0</v>
      </c>
      <c r="L132" s="41" t="s">
        <v>34</v>
      </c>
      <c r="M132" s="66">
        <v>506194.0</v>
      </c>
      <c r="N132" s="22">
        <f>E132+K132-M132</f>
        <v>319467</v>
      </c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ht="321.75" customHeight="1">
      <c r="A133" s="57"/>
      <c r="B133" s="53"/>
      <c r="C133" s="53"/>
      <c r="D133" s="53"/>
      <c r="E133" s="58"/>
      <c r="F133" s="67"/>
      <c r="G133" s="55"/>
      <c r="H133" s="55"/>
      <c r="I133" s="55"/>
      <c r="J133" s="55"/>
      <c r="K133" s="55"/>
      <c r="L133" s="55"/>
      <c r="M133" s="55"/>
      <c r="N133" s="5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ht="18.75" customHeight="1">
      <c r="A134" s="11">
        <v>1161.0</v>
      </c>
      <c r="B134" s="12">
        <v>45619.0</v>
      </c>
      <c r="C134" s="13"/>
      <c r="D134" s="14" t="s">
        <v>64</v>
      </c>
      <c r="E134" s="15" t="s">
        <v>15</v>
      </c>
      <c r="F134" s="16" t="s">
        <v>16</v>
      </c>
      <c r="G134" s="17">
        <v>200.0</v>
      </c>
      <c r="H134" s="18">
        <v>84.0</v>
      </c>
      <c r="I134" s="19"/>
      <c r="J134" s="19"/>
      <c r="K134" s="20">
        <f t="shared" ref="K134:K140" si="14">G134*H134</f>
        <v>16800</v>
      </c>
      <c r="L134" s="21" t="s">
        <v>17</v>
      </c>
      <c r="M134" s="20">
        <v>200.0</v>
      </c>
      <c r="N134" s="9" t="s">
        <v>13</v>
      </c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ht="18.75" customHeight="1">
      <c r="A135" s="24"/>
      <c r="B135" s="25"/>
      <c r="C135" s="25"/>
      <c r="D135" s="25"/>
      <c r="E135" s="25"/>
      <c r="F135" s="26" t="s">
        <v>18</v>
      </c>
      <c r="G135" s="27">
        <v>150.0</v>
      </c>
      <c r="H135" s="28">
        <v>45.0</v>
      </c>
      <c r="I135" s="29"/>
      <c r="J135" s="29"/>
      <c r="K135" s="30">
        <f t="shared" si="14"/>
        <v>6750</v>
      </c>
      <c r="L135" s="31" t="s">
        <v>19</v>
      </c>
      <c r="M135" s="30">
        <v>200.0</v>
      </c>
      <c r="N135" s="22">
        <f>K142-M142</f>
        <v>8685</v>
      </c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ht="18.75" customHeight="1">
      <c r="A136" s="24"/>
      <c r="B136" s="25"/>
      <c r="C136" s="25"/>
      <c r="D136" s="25"/>
      <c r="E136" s="25"/>
      <c r="F136" s="33" t="s">
        <v>20</v>
      </c>
      <c r="G136" s="34">
        <v>150.0</v>
      </c>
      <c r="H136" s="28"/>
      <c r="I136" s="32"/>
      <c r="J136" s="32"/>
      <c r="K136" s="35">
        <f t="shared" si="14"/>
        <v>0</v>
      </c>
      <c r="L136" s="36" t="s">
        <v>21</v>
      </c>
      <c r="M136" s="37">
        <v>400.0</v>
      </c>
      <c r="N136" s="3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ht="18.75" customHeight="1">
      <c r="A137" s="24"/>
      <c r="B137" s="25"/>
      <c r="C137" s="25"/>
      <c r="D137" s="25"/>
      <c r="E137" s="25"/>
      <c r="F137" s="39" t="s">
        <v>23</v>
      </c>
      <c r="G137" s="27">
        <v>100.0</v>
      </c>
      <c r="H137" s="40">
        <v>2.0</v>
      </c>
      <c r="I137" s="29"/>
      <c r="J137" s="29"/>
      <c r="K137" s="30">
        <f t="shared" si="14"/>
        <v>200</v>
      </c>
      <c r="L137" s="41" t="s">
        <v>24</v>
      </c>
      <c r="M137" s="42">
        <v>4000.0</v>
      </c>
      <c r="N137" s="38" t="s">
        <v>22</v>
      </c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ht="18.75" customHeight="1">
      <c r="A138" s="24"/>
      <c r="B138" s="25"/>
      <c r="C138" s="25"/>
      <c r="D138" s="25"/>
      <c r="E138" s="25"/>
      <c r="F138" s="43" t="s">
        <v>25</v>
      </c>
      <c r="G138" s="44">
        <v>200.0</v>
      </c>
      <c r="H138" s="28"/>
      <c r="I138" s="32"/>
      <c r="J138" s="32"/>
      <c r="K138" s="35">
        <f t="shared" si="14"/>
        <v>0</v>
      </c>
      <c r="L138" s="36" t="s">
        <v>26</v>
      </c>
      <c r="M138" s="45">
        <v>8070.0</v>
      </c>
      <c r="N138" s="25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ht="18.75" customHeight="1">
      <c r="A139" s="24"/>
      <c r="B139" s="25"/>
      <c r="C139" s="25"/>
      <c r="D139" s="25"/>
      <c r="E139" s="25"/>
      <c r="F139" s="46" t="s">
        <v>27</v>
      </c>
      <c r="G139" s="34">
        <v>150.0</v>
      </c>
      <c r="H139" s="28"/>
      <c r="I139" s="32"/>
      <c r="J139" s="47"/>
      <c r="K139" s="35">
        <f t="shared" si="14"/>
        <v>0</v>
      </c>
      <c r="L139" s="48" t="s">
        <v>28</v>
      </c>
      <c r="M139" s="49">
        <f>1790+880</f>
        <v>2670</v>
      </c>
      <c r="N139" s="25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ht="18.75" customHeight="1">
      <c r="A140" s="24"/>
      <c r="B140" s="25"/>
      <c r="C140" s="25"/>
      <c r="D140" s="25"/>
      <c r="E140" s="25"/>
      <c r="F140" s="50" t="s">
        <v>29</v>
      </c>
      <c r="G140" s="34">
        <v>600.0</v>
      </c>
      <c r="H140" s="28">
        <v>1.0</v>
      </c>
      <c r="I140" s="32"/>
      <c r="J140" s="47"/>
      <c r="K140" s="35">
        <f t="shared" si="14"/>
        <v>600</v>
      </c>
      <c r="L140" s="51" t="s">
        <v>30</v>
      </c>
      <c r="M140" s="52">
        <f>125</f>
        <v>125</v>
      </c>
      <c r="N140" s="25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ht="18.75" customHeight="1">
      <c r="A141" s="24"/>
      <c r="B141" s="25"/>
      <c r="C141" s="25"/>
      <c r="D141" s="25"/>
      <c r="E141" s="53"/>
      <c r="F141" s="64" t="s">
        <v>31</v>
      </c>
      <c r="G141" s="65"/>
      <c r="H141" s="32"/>
      <c r="I141" s="29"/>
      <c r="J141" s="29"/>
      <c r="K141" s="35">
        <f>G141*F143:N143</f>
        <v>0</v>
      </c>
      <c r="L141" s="51" t="s">
        <v>32</v>
      </c>
      <c r="M141" s="52"/>
      <c r="N141" s="5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ht="18.75" customHeight="1">
      <c r="A142" s="24"/>
      <c r="B142" s="25"/>
      <c r="C142" s="25"/>
      <c r="D142" s="25"/>
      <c r="E142" s="22">
        <f>N152</f>
        <v>289126</v>
      </c>
      <c r="F142" s="54" t="s">
        <v>33</v>
      </c>
      <c r="G142" s="55"/>
      <c r="H142" s="53"/>
      <c r="I142" s="29"/>
      <c r="J142" s="29"/>
      <c r="K142" s="56">
        <f>SUM(K134:K141)</f>
        <v>24350</v>
      </c>
      <c r="L142" s="41" t="s">
        <v>34</v>
      </c>
      <c r="M142" s="56">
        <f>SUM(M134:M141)</f>
        <v>15665</v>
      </c>
      <c r="N142" s="22">
        <f>E142+K142-M142</f>
        <v>297811</v>
      </c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ht="71.25" customHeight="1">
      <c r="A143" s="57"/>
      <c r="B143" s="53"/>
      <c r="C143" s="53"/>
      <c r="D143" s="53"/>
      <c r="E143" s="58" t="s">
        <v>35</v>
      </c>
      <c r="F143" s="59" t="s">
        <v>65</v>
      </c>
      <c r="G143" s="55"/>
      <c r="H143" s="55"/>
      <c r="I143" s="55"/>
      <c r="J143" s="55"/>
      <c r="K143" s="55"/>
      <c r="L143" s="55"/>
      <c r="M143" s="55"/>
      <c r="N143" s="5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ht="18.75" customHeight="1">
      <c r="A144" s="11">
        <v>1160.0</v>
      </c>
      <c r="B144" s="12">
        <v>45612.0</v>
      </c>
      <c r="C144" s="13"/>
      <c r="D144" s="14" t="s">
        <v>66</v>
      </c>
      <c r="E144" s="15" t="s">
        <v>15</v>
      </c>
      <c r="F144" s="16"/>
      <c r="G144" s="17">
        <v>200.0</v>
      </c>
      <c r="H144" s="18">
        <v>114.0</v>
      </c>
      <c r="I144" s="19"/>
      <c r="J144" s="19"/>
      <c r="K144" s="20">
        <f t="shared" ref="K144:K150" si="15">G144*H144</f>
        <v>22800</v>
      </c>
      <c r="L144" s="21" t="s">
        <v>17</v>
      </c>
      <c r="M144" s="20">
        <v>200.0</v>
      </c>
      <c r="N144" s="9" t="s">
        <v>13</v>
      </c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ht="18.75" customHeight="1">
      <c r="A145" s="24"/>
      <c r="B145" s="25"/>
      <c r="C145" s="25"/>
      <c r="D145" s="25"/>
      <c r="E145" s="25"/>
      <c r="F145" s="26" t="s">
        <v>18</v>
      </c>
      <c r="G145" s="27">
        <v>150.0</v>
      </c>
      <c r="H145" s="28">
        <v>67.0</v>
      </c>
      <c r="I145" s="29"/>
      <c r="J145" s="29"/>
      <c r="K145" s="30">
        <f t="shared" si="15"/>
        <v>10050</v>
      </c>
      <c r="L145" s="31" t="s">
        <v>19</v>
      </c>
      <c r="M145" s="30">
        <v>200.0</v>
      </c>
      <c r="N145" s="22">
        <f>K152-M152</f>
        <v>9145</v>
      </c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ht="18.75" customHeight="1">
      <c r="A146" s="24"/>
      <c r="B146" s="25"/>
      <c r="C146" s="25"/>
      <c r="D146" s="25"/>
      <c r="E146" s="25"/>
      <c r="F146" s="33" t="s">
        <v>20</v>
      </c>
      <c r="G146" s="34">
        <v>150.0</v>
      </c>
      <c r="H146" s="28"/>
      <c r="I146" s="32"/>
      <c r="J146" s="32"/>
      <c r="K146" s="35">
        <f t="shared" si="15"/>
        <v>0</v>
      </c>
      <c r="L146" s="36" t="s">
        <v>21</v>
      </c>
      <c r="M146" s="37">
        <v>750.0</v>
      </c>
      <c r="N146" s="32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ht="18.75" customHeight="1">
      <c r="A147" s="24"/>
      <c r="B147" s="25"/>
      <c r="C147" s="25"/>
      <c r="D147" s="25"/>
      <c r="E147" s="25"/>
      <c r="F147" s="39" t="s">
        <v>23</v>
      </c>
      <c r="G147" s="27">
        <v>100.0</v>
      </c>
      <c r="H147" s="40">
        <v>1.0</v>
      </c>
      <c r="I147" s="29"/>
      <c r="J147" s="29"/>
      <c r="K147" s="30">
        <f t="shared" si="15"/>
        <v>100</v>
      </c>
      <c r="L147" s="41" t="s">
        <v>24</v>
      </c>
      <c r="M147" s="42">
        <v>4500.0</v>
      </c>
      <c r="N147" s="38" t="s">
        <v>22</v>
      </c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ht="18.75" customHeight="1">
      <c r="A148" s="24"/>
      <c r="B148" s="25"/>
      <c r="C148" s="25"/>
      <c r="D148" s="25"/>
      <c r="E148" s="25"/>
      <c r="F148" s="43" t="s">
        <v>25</v>
      </c>
      <c r="G148" s="44">
        <v>200.0</v>
      </c>
      <c r="H148" s="28"/>
      <c r="I148" s="32"/>
      <c r="J148" s="32"/>
      <c r="K148" s="35">
        <f t="shared" si="15"/>
        <v>0</v>
      </c>
      <c r="L148" s="36" t="s">
        <v>26</v>
      </c>
      <c r="M148" s="45">
        <v>14470.0</v>
      </c>
      <c r="N148" s="25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ht="18.75" customHeight="1">
      <c r="A149" s="24"/>
      <c r="B149" s="25"/>
      <c r="C149" s="25"/>
      <c r="D149" s="25"/>
      <c r="E149" s="25"/>
      <c r="F149" s="46" t="s">
        <v>27</v>
      </c>
      <c r="G149" s="34">
        <v>150.0</v>
      </c>
      <c r="H149" s="28"/>
      <c r="I149" s="32"/>
      <c r="J149" s="47"/>
      <c r="K149" s="35">
        <f t="shared" si="15"/>
        <v>0</v>
      </c>
      <c r="L149" s="48" t="s">
        <v>28</v>
      </c>
      <c r="M149" s="49">
        <f>1340+1145</f>
        <v>2485</v>
      </c>
      <c r="N149" s="25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ht="18.75" customHeight="1">
      <c r="A150" s="24"/>
      <c r="B150" s="25"/>
      <c r="C150" s="25"/>
      <c r="D150" s="25"/>
      <c r="E150" s="25"/>
      <c r="F150" s="50" t="s">
        <v>29</v>
      </c>
      <c r="G150" s="34"/>
      <c r="H150" s="28"/>
      <c r="I150" s="32"/>
      <c r="J150" s="47"/>
      <c r="K150" s="35">
        <f t="shared" si="15"/>
        <v>0</v>
      </c>
      <c r="L150" s="51" t="s">
        <v>30</v>
      </c>
      <c r="M150" s="52">
        <f>1200</f>
        <v>1200</v>
      </c>
      <c r="N150" s="25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ht="18.75" customHeight="1">
      <c r="A151" s="24"/>
      <c r="B151" s="25"/>
      <c r="C151" s="25"/>
      <c r="D151" s="25"/>
      <c r="E151" s="53"/>
      <c r="F151" s="64" t="s">
        <v>31</v>
      </c>
      <c r="G151" s="65"/>
      <c r="H151" s="32"/>
      <c r="I151" s="29"/>
      <c r="J151" s="29"/>
      <c r="K151" s="35">
        <f>G151*F153:N153</f>
        <v>0</v>
      </c>
      <c r="L151" s="51" t="s">
        <v>32</v>
      </c>
      <c r="M151" s="52"/>
      <c r="N151" s="5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ht="18.75" customHeight="1">
      <c r="A152" s="24"/>
      <c r="B152" s="25"/>
      <c r="C152" s="25"/>
      <c r="D152" s="25"/>
      <c r="E152" s="22">
        <f>N162</f>
        <v>279981</v>
      </c>
      <c r="F152" s="54" t="s">
        <v>33</v>
      </c>
      <c r="G152" s="55"/>
      <c r="H152" s="53"/>
      <c r="I152" s="29"/>
      <c r="J152" s="29"/>
      <c r="K152" s="56">
        <f>SUM(K144:K151)</f>
        <v>32950</v>
      </c>
      <c r="L152" s="41" t="s">
        <v>34</v>
      </c>
      <c r="M152" s="56">
        <f>SUM(M144:M151)</f>
        <v>23805</v>
      </c>
      <c r="N152" s="22">
        <f>E152+K152-M152</f>
        <v>289126</v>
      </c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ht="106.5" customHeight="1">
      <c r="A153" s="57"/>
      <c r="B153" s="53"/>
      <c r="C153" s="53"/>
      <c r="D153" s="53"/>
      <c r="E153" s="58" t="s">
        <v>35</v>
      </c>
      <c r="F153" s="59" t="s">
        <v>67</v>
      </c>
      <c r="G153" s="55"/>
      <c r="H153" s="55"/>
      <c r="I153" s="55"/>
      <c r="J153" s="55"/>
      <c r="K153" s="55"/>
      <c r="L153" s="55"/>
      <c r="M153" s="55"/>
      <c r="N153" s="5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ht="18.75" customHeight="1">
      <c r="A154" s="11">
        <v>1159.0</v>
      </c>
      <c r="B154" s="12">
        <v>45605.0</v>
      </c>
      <c r="C154" s="13"/>
      <c r="D154" s="14" t="s">
        <v>68</v>
      </c>
      <c r="E154" s="15" t="s">
        <v>15</v>
      </c>
      <c r="F154" s="16" t="s">
        <v>16</v>
      </c>
      <c r="G154" s="17">
        <v>200.0</v>
      </c>
      <c r="H154" s="18">
        <v>120.0</v>
      </c>
      <c r="I154" s="19"/>
      <c r="J154" s="19"/>
      <c r="K154" s="20">
        <f t="shared" ref="K154:K160" si="16">G154*H154</f>
        <v>24000</v>
      </c>
      <c r="L154" s="21" t="s">
        <v>17</v>
      </c>
      <c r="M154" s="20">
        <v>200.0</v>
      </c>
      <c r="N154" s="9" t="s">
        <v>13</v>
      </c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ht="18.75" customHeight="1">
      <c r="A155" s="24"/>
      <c r="B155" s="25"/>
      <c r="C155" s="25"/>
      <c r="D155" s="25"/>
      <c r="E155" s="25"/>
      <c r="F155" s="26" t="s">
        <v>18</v>
      </c>
      <c r="G155" s="27">
        <v>150.0</v>
      </c>
      <c r="H155" s="28">
        <v>79.0</v>
      </c>
      <c r="I155" s="29"/>
      <c r="J155" s="29"/>
      <c r="K155" s="30">
        <f t="shared" si="16"/>
        <v>11850</v>
      </c>
      <c r="L155" s="31" t="s">
        <v>19</v>
      </c>
      <c r="M155" s="30">
        <v>200.0</v>
      </c>
      <c r="N155" s="22">
        <f>K162-M162</f>
        <v>10525</v>
      </c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ht="18.75" customHeight="1">
      <c r="A156" s="24"/>
      <c r="B156" s="25"/>
      <c r="C156" s="25"/>
      <c r="D156" s="25"/>
      <c r="E156" s="25"/>
      <c r="F156" s="33" t="s">
        <v>20</v>
      </c>
      <c r="G156" s="34">
        <v>150.0</v>
      </c>
      <c r="H156" s="28">
        <v>1.0</v>
      </c>
      <c r="I156" s="32"/>
      <c r="J156" s="32"/>
      <c r="K156" s="35">
        <f t="shared" si="16"/>
        <v>150</v>
      </c>
      <c r="L156" s="36" t="s">
        <v>21</v>
      </c>
      <c r="M156" s="37">
        <v>350.0</v>
      </c>
      <c r="N156" s="32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ht="18.75" customHeight="1">
      <c r="A157" s="24"/>
      <c r="B157" s="25"/>
      <c r="C157" s="25"/>
      <c r="D157" s="25"/>
      <c r="E157" s="25"/>
      <c r="F157" s="39" t="s">
        <v>23</v>
      </c>
      <c r="G157" s="27">
        <v>100.0</v>
      </c>
      <c r="H157" s="40">
        <v>1.0</v>
      </c>
      <c r="I157" s="29"/>
      <c r="J157" s="29"/>
      <c r="K157" s="30">
        <f t="shared" si="16"/>
        <v>100</v>
      </c>
      <c r="L157" s="41" t="s">
        <v>24</v>
      </c>
      <c r="M157" s="42">
        <v>4000.0</v>
      </c>
      <c r="N157" s="38" t="s">
        <v>22</v>
      </c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ht="18.75" customHeight="1">
      <c r="A158" s="24"/>
      <c r="B158" s="25"/>
      <c r="C158" s="25"/>
      <c r="D158" s="25"/>
      <c r="E158" s="25"/>
      <c r="F158" s="43" t="s">
        <v>25</v>
      </c>
      <c r="G158" s="44">
        <v>200.0</v>
      </c>
      <c r="H158" s="28"/>
      <c r="I158" s="32"/>
      <c r="J158" s="32"/>
      <c r="K158" s="35">
        <f t="shared" si="16"/>
        <v>0</v>
      </c>
      <c r="L158" s="36" t="s">
        <v>26</v>
      </c>
      <c r="M158" s="45">
        <v>13560.0</v>
      </c>
      <c r="N158" s="25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ht="18.75" customHeight="1">
      <c r="A159" s="24"/>
      <c r="B159" s="25"/>
      <c r="C159" s="25"/>
      <c r="D159" s="25"/>
      <c r="E159" s="25"/>
      <c r="F159" s="46" t="s">
        <v>27</v>
      </c>
      <c r="G159" s="34">
        <v>150.0</v>
      </c>
      <c r="H159" s="28"/>
      <c r="I159" s="32"/>
      <c r="J159" s="47"/>
      <c r="K159" s="35">
        <f t="shared" si="16"/>
        <v>0</v>
      </c>
      <c r="L159" s="48" t="s">
        <v>28</v>
      </c>
      <c r="M159" s="49">
        <f>1810+680+325</f>
        <v>2815</v>
      </c>
      <c r="N159" s="25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ht="18.75" customHeight="1">
      <c r="A160" s="24"/>
      <c r="B160" s="25"/>
      <c r="C160" s="25"/>
      <c r="D160" s="25"/>
      <c r="E160" s="25"/>
      <c r="F160" s="50" t="s">
        <v>29</v>
      </c>
      <c r="G160" s="34"/>
      <c r="H160" s="28"/>
      <c r="I160" s="32"/>
      <c r="J160" s="47"/>
      <c r="K160" s="35">
        <f t="shared" si="16"/>
        <v>0</v>
      </c>
      <c r="L160" s="51" t="s">
        <v>30</v>
      </c>
      <c r="M160" s="52">
        <f>1050</f>
        <v>1050</v>
      </c>
      <c r="N160" s="25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ht="18.75" customHeight="1">
      <c r="A161" s="24"/>
      <c r="B161" s="25"/>
      <c r="C161" s="25"/>
      <c r="D161" s="25"/>
      <c r="E161" s="53"/>
      <c r="F161" s="64" t="s">
        <v>31</v>
      </c>
      <c r="G161" s="65"/>
      <c r="H161" s="32"/>
      <c r="I161" s="29"/>
      <c r="J161" s="29"/>
      <c r="K161" s="35">
        <f>G161*F163:N163</f>
        <v>0</v>
      </c>
      <c r="L161" s="51" t="s">
        <v>32</v>
      </c>
      <c r="M161" s="52">
        <v>3400.0</v>
      </c>
      <c r="N161" s="5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ht="18.75" customHeight="1">
      <c r="A162" s="24"/>
      <c r="B162" s="25"/>
      <c r="C162" s="25"/>
      <c r="D162" s="25"/>
      <c r="E162" s="22">
        <f>N172</f>
        <v>269456</v>
      </c>
      <c r="F162" s="54" t="s">
        <v>33</v>
      </c>
      <c r="G162" s="55"/>
      <c r="H162" s="53"/>
      <c r="I162" s="29"/>
      <c r="J162" s="29"/>
      <c r="K162" s="56">
        <f>SUM(K154:K161)</f>
        <v>36100</v>
      </c>
      <c r="L162" s="41" t="s">
        <v>34</v>
      </c>
      <c r="M162" s="56">
        <f>SUM(M154:M161)</f>
        <v>25575</v>
      </c>
      <c r="N162" s="22">
        <f>E162+K162-M162</f>
        <v>279981</v>
      </c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ht="105.0" customHeight="1">
      <c r="A163" s="57"/>
      <c r="B163" s="53"/>
      <c r="C163" s="53"/>
      <c r="D163" s="53"/>
      <c r="E163" s="58" t="s">
        <v>35</v>
      </c>
      <c r="F163" s="59" t="s">
        <v>69</v>
      </c>
      <c r="G163" s="55"/>
      <c r="H163" s="55"/>
      <c r="I163" s="55"/>
      <c r="J163" s="55"/>
      <c r="K163" s="55"/>
      <c r="L163" s="55"/>
      <c r="M163" s="55"/>
      <c r="N163" s="5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ht="18.75" customHeight="1">
      <c r="A164" s="11">
        <v>1158.0</v>
      </c>
      <c r="B164" s="12">
        <v>45598.0</v>
      </c>
      <c r="C164" s="13"/>
      <c r="D164" s="14" t="s">
        <v>41</v>
      </c>
      <c r="E164" s="15" t="s">
        <v>15</v>
      </c>
      <c r="F164" s="16" t="s">
        <v>16</v>
      </c>
      <c r="G164" s="17">
        <v>200.0</v>
      </c>
      <c r="H164" s="18">
        <v>100.0</v>
      </c>
      <c r="I164" s="19"/>
      <c r="J164" s="19"/>
      <c r="K164" s="20">
        <f t="shared" ref="K164:K170" si="17">G164*H164</f>
        <v>20000</v>
      </c>
      <c r="L164" s="21" t="s">
        <v>17</v>
      </c>
      <c r="M164" s="20">
        <v>200.0</v>
      </c>
      <c r="N164" s="9" t="s">
        <v>13</v>
      </c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ht="18.75" customHeight="1">
      <c r="A165" s="24"/>
      <c r="B165" s="25"/>
      <c r="C165" s="25"/>
      <c r="D165" s="25"/>
      <c r="E165" s="25"/>
      <c r="F165" s="26" t="s">
        <v>18</v>
      </c>
      <c r="G165" s="27">
        <v>150.0</v>
      </c>
      <c r="H165" s="28">
        <v>61.0</v>
      </c>
      <c r="I165" s="29"/>
      <c r="J165" s="29"/>
      <c r="K165" s="30">
        <f t="shared" si="17"/>
        <v>9150</v>
      </c>
      <c r="L165" s="31" t="s">
        <v>19</v>
      </c>
      <c r="M165" s="30">
        <v>200.0</v>
      </c>
      <c r="N165" s="22">
        <f>K172-M172</f>
        <v>-1860</v>
      </c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ht="18.75" customHeight="1">
      <c r="A166" s="24"/>
      <c r="B166" s="25"/>
      <c r="C166" s="25"/>
      <c r="D166" s="25"/>
      <c r="E166" s="25"/>
      <c r="F166" s="33" t="s">
        <v>20</v>
      </c>
      <c r="G166" s="34">
        <v>150.0</v>
      </c>
      <c r="H166" s="28">
        <v>1.0</v>
      </c>
      <c r="I166" s="32"/>
      <c r="J166" s="32"/>
      <c r="K166" s="35">
        <f t="shared" si="17"/>
        <v>150</v>
      </c>
      <c r="L166" s="36" t="s">
        <v>21</v>
      </c>
      <c r="M166" s="37">
        <v>300.0</v>
      </c>
      <c r="N166" s="32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ht="18.75" customHeight="1">
      <c r="A167" s="24"/>
      <c r="B167" s="25"/>
      <c r="C167" s="25"/>
      <c r="D167" s="25"/>
      <c r="E167" s="25"/>
      <c r="F167" s="39" t="s">
        <v>23</v>
      </c>
      <c r="G167" s="27">
        <v>100.0</v>
      </c>
      <c r="H167" s="40"/>
      <c r="I167" s="29"/>
      <c r="J167" s="29"/>
      <c r="K167" s="30">
        <f t="shared" si="17"/>
        <v>0</v>
      </c>
      <c r="L167" s="41" t="s">
        <v>24</v>
      </c>
      <c r="M167" s="42">
        <v>4000.0</v>
      </c>
      <c r="N167" s="38" t="s">
        <v>22</v>
      </c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ht="18.75" customHeight="1">
      <c r="A168" s="24"/>
      <c r="B168" s="25"/>
      <c r="C168" s="25"/>
      <c r="D168" s="25"/>
      <c r="E168" s="25"/>
      <c r="F168" s="43" t="s">
        <v>25</v>
      </c>
      <c r="G168" s="44">
        <v>200.0</v>
      </c>
      <c r="H168" s="28"/>
      <c r="I168" s="32"/>
      <c r="J168" s="32"/>
      <c r="K168" s="35">
        <f t="shared" si="17"/>
        <v>0</v>
      </c>
      <c r="L168" s="36" t="s">
        <v>26</v>
      </c>
      <c r="M168" s="45">
        <v>8990.0</v>
      </c>
      <c r="N168" s="25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ht="18.75" customHeight="1">
      <c r="A169" s="24"/>
      <c r="B169" s="25"/>
      <c r="C169" s="25"/>
      <c r="D169" s="25"/>
      <c r="E169" s="25"/>
      <c r="F169" s="46" t="s">
        <v>27</v>
      </c>
      <c r="G169" s="34">
        <v>150.0</v>
      </c>
      <c r="H169" s="28"/>
      <c r="I169" s="32"/>
      <c r="J169" s="47"/>
      <c r="K169" s="35">
        <f t="shared" si="17"/>
        <v>0</v>
      </c>
      <c r="L169" s="48" t="s">
        <v>28</v>
      </c>
      <c r="M169" s="49">
        <f>1970+640</f>
        <v>2610</v>
      </c>
      <c r="N169" s="25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ht="18.75" customHeight="1">
      <c r="A170" s="24"/>
      <c r="B170" s="25"/>
      <c r="C170" s="25"/>
      <c r="D170" s="25"/>
      <c r="E170" s="25"/>
      <c r="F170" s="50" t="s">
        <v>29</v>
      </c>
      <c r="G170" s="34"/>
      <c r="H170" s="28"/>
      <c r="I170" s="32"/>
      <c r="J170" s="47"/>
      <c r="K170" s="35">
        <f t="shared" si="17"/>
        <v>0</v>
      </c>
      <c r="L170" s="51" t="s">
        <v>30</v>
      </c>
      <c r="M170" s="52">
        <f>1200+1980</f>
        <v>3180</v>
      </c>
      <c r="N170" s="25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ht="18.75" customHeight="1">
      <c r="A171" s="24"/>
      <c r="B171" s="25"/>
      <c r="C171" s="25"/>
      <c r="D171" s="25"/>
      <c r="E171" s="53"/>
      <c r="F171" s="64" t="s">
        <v>31</v>
      </c>
      <c r="G171" s="65"/>
      <c r="H171" s="32"/>
      <c r="I171" s="29"/>
      <c r="J171" s="29"/>
      <c r="K171" s="35">
        <f>G171*F173:N173</f>
        <v>0</v>
      </c>
      <c r="L171" s="51" t="s">
        <v>32</v>
      </c>
      <c r="M171" s="52">
        <f>11680</f>
        <v>11680</v>
      </c>
      <c r="N171" s="5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ht="18.75" customHeight="1">
      <c r="A172" s="24"/>
      <c r="B172" s="25"/>
      <c r="C172" s="25"/>
      <c r="D172" s="25"/>
      <c r="E172" s="22">
        <f>N182</f>
        <v>271316</v>
      </c>
      <c r="F172" s="54" t="s">
        <v>33</v>
      </c>
      <c r="G172" s="55"/>
      <c r="H172" s="53"/>
      <c r="I172" s="29"/>
      <c r="J172" s="29"/>
      <c r="K172" s="56">
        <f>SUM(K164:K171)</f>
        <v>29300</v>
      </c>
      <c r="L172" s="41" t="s">
        <v>34</v>
      </c>
      <c r="M172" s="56">
        <f>SUM(M164:M171)</f>
        <v>31160</v>
      </c>
      <c r="N172" s="22">
        <f>E172+K172-M172</f>
        <v>269456</v>
      </c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ht="84.0" customHeight="1">
      <c r="A173" s="57"/>
      <c r="B173" s="53"/>
      <c r="C173" s="53"/>
      <c r="D173" s="53"/>
      <c r="E173" s="58" t="s">
        <v>35</v>
      </c>
      <c r="F173" s="59" t="s">
        <v>70</v>
      </c>
      <c r="G173" s="55"/>
      <c r="H173" s="55"/>
      <c r="I173" s="55"/>
      <c r="J173" s="55"/>
      <c r="K173" s="55"/>
      <c r="L173" s="55"/>
      <c r="M173" s="55"/>
      <c r="N173" s="5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ht="18.75" customHeight="1">
      <c r="A174" s="11">
        <v>1157.0</v>
      </c>
      <c r="B174" s="12">
        <v>45591.0</v>
      </c>
      <c r="C174" s="13"/>
      <c r="D174" s="14" t="s">
        <v>68</v>
      </c>
      <c r="E174" s="15" t="s">
        <v>15</v>
      </c>
      <c r="F174" s="16" t="s">
        <v>16</v>
      </c>
      <c r="G174" s="17">
        <v>200.0</v>
      </c>
      <c r="H174" s="18">
        <v>81.0</v>
      </c>
      <c r="I174" s="19"/>
      <c r="J174" s="19"/>
      <c r="K174" s="20">
        <f t="shared" ref="K174:K180" si="18">G174*H174</f>
        <v>16200</v>
      </c>
      <c r="L174" s="21" t="s">
        <v>17</v>
      </c>
      <c r="M174" s="20">
        <v>200.0</v>
      </c>
      <c r="N174" s="9" t="s">
        <v>13</v>
      </c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ht="18.75" customHeight="1">
      <c r="A175" s="24"/>
      <c r="B175" s="25"/>
      <c r="C175" s="25"/>
      <c r="D175" s="25"/>
      <c r="E175" s="25"/>
      <c r="F175" s="26" t="s">
        <v>18</v>
      </c>
      <c r="G175" s="27">
        <v>150.0</v>
      </c>
      <c r="H175" s="28">
        <v>45.0</v>
      </c>
      <c r="I175" s="29"/>
      <c r="J175" s="29"/>
      <c r="K175" s="30">
        <f t="shared" si="18"/>
        <v>6750</v>
      </c>
      <c r="L175" s="31" t="s">
        <v>19</v>
      </c>
      <c r="M175" s="30">
        <v>200.0</v>
      </c>
      <c r="N175" s="22">
        <f>K182-M182</f>
        <v>6645</v>
      </c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ht="18.75" customHeight="1">
      <c r="A176" s="24"/>
      <c r="B176" s="25"/>
      <c r="C176" s="25"/>
      <c r="D176" s="25"/>
      <c r="E176" s="25"/>
      <c r="F176" s="33" t="s">
        <v>20</v>
      </c>
      <c r="G176" s="34">
        <v>150.0</v>
      </c>
      <c r="H176" s="28"/>
      <c r="I176" s="32"/>
      <c r="J176" s="32"/>
      <c r="K176" s="35">
        <f t="shared" si="18"/>
        <v>0</v>
      </c>
      <c r="L176" s="36" t="s">
        <v>21</v>
      </c>
      <c r="M176" s="37">
        <v>400.0</v>
      </c>
      <c r="N176" s="3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ht="18.75" customHeight="1">
      <c r="A177" s="24"/>
      <c r="B177" s="25"/>
      <c r="C177" s="25"/>
      <c r="D177" s="25"/>
      <c r="E177" s="25"/>
      <c r="F177" s="39" t="s">
        <v>23</v>
      </c>
      <c r="G177" s="27">
        <v>100.0</v>
      </c>
      <c r="H177" s="40">
        <v>1.0</v>
      </c>
      <c r="I177" s="29"/>
      <c r="J177" s="29"/>
      <c r="K177" s="30">
        <f t="shared" si="18"/>
        <v>100</v>
      </c>
      <c r="L177" s="41" t="s">
        <v>24</v>
      </c>
      <c r="M177" s="42">
        <v>4000.0</v>
      </c>
      <c r="N177" s="38" t="s">
        <v>22</v>
      </c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ht="18.75" customHeight="1">
      <c r="A178" s="24"/>
      <c r="B178" s="25"/>
      <c r="C178" s="25"/>
      <c r="D178" s="25"/>
      <c r="E178" s="25"/>
      <c r="F178" s="43" t="s">
        <v>25</v>
      </c>
      <c r="G178" s="44">
        <v>200.0</v>
      </c>
      <c r="H178" s="28"/>
      <c r="I178" s="32"/>
      <c r="J178" s="32"/>
      <c r="K178" s="35">
        <f t="shared" si="18"/>
        <v>0</v>
      </c>
      <c r="L178" s="36" t="s">
        <v>26</v>
      </c>
      <c r="M178" s="45">
        <v>7720.0</v>
      </c>
      <c r="N178" s="25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ht="18.75" customHeight="1">
      <c r="A179" s="24"/>
      <c r="B179" s="25"/>
      <c r="C179" s="25"/>
      <c r="D179" s="25"/>
      <c r="E179" s="25"/>
      <c r="F179" s="46" t="s">
        <v>27</v>
      </c>
      <c r="G179" s="34">
        <v>150.0</v>
      </c>
      <c r="H179" s="28"/>
      <c r="I179" s="32"/>
      <c r="J179" s="47"/>
      <c r="K179" s="35">
        <f t="shared" si="18"/>
        <v>0</v>
      </c>
      <c r="L179" s="68"/>
      <c r="M179" s="69"/>
      <c r="N179" s="25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ht="18.75" customHeight="1">
      <c r="A180" s="24"/>
      <c r="B180" s="25"/>
      <c r="C180" s="25"/>
      <c r="D180" s="25"/>
      <c r="E180" s="25"/>
      <c r="F180" s="50" t="s">
        <v>29</v>
      </c>
      <c r="G180" s="34"/>
      <c r="H180" s="28"/>
      <c r="I180" s="32"/>
      <c r="J180" s="47"/>
      <c r="K180" s="35">
        <f t="shared" si="18"/>
        <v>0</v>
      </c>
      <c r="L180" s="48" t="s">
        <v>28</v>
      </c>
      <c r="M180" s="49">
        <f>1160+680+45</f>
        <v>1885</v>
      </c>
      <c r="N180" s="25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ht="18.75" customHeight="1">
      <c r="A181" s="24"/>
      <c r="B181" s="25"/>
      <c r="C181" s="25"/>
      <c r="D181" s="25"/>
      <c r="E181" s="53"/>
      <c r="F181" s="64" t="s">
        <v>31</v>
      </c>
      <c r="G181" s="65"/>
      <c r="H181" s="32"/>
      <c r="I181" s="29"/>
      <c r="J181" s="29"/>
      <c r="K181" s="35">
        <f>G181*F183:N183</f>
        <v>0</v>
      </c>
      <c r="L181" s="51" t="s">
        <v>30</v>
      </c>
      <c r="M181" s="52">
        <v>2000.0</v>
      </c>
      <c r="N181" s="5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ht="18.75" customHeight="1">
      <c r="A182" s="24"/>
      <c r="B182" s="25"/>
      <c r="C182" s="25"/>
      <c r="D182" s="25"/>
      <c r="E182" s="22">
        <f>N192</f>
        <v>264671</v>
      </c>
      <c r="F182" s="54" t="s">
        <v>33</v>
      </c>
      <c r="G182" s="55"/>
      <c r="H182" s="53"/>
      <c r="I182" s="29"/>
      <c r="J182" s="29"/>
      <c r="K182" s="56">
        <f>SUM(K174:K181)</f>
        <v>23050</v>
      </c>
      <c r="L182" s="41" t="s">
        <v>34</v>
      </c>
      <c r="M182" s="56">
        <f>SUM(M174:M181)</f>
        <v>16405</v>
      </c>
      <c r="N182" s="22">
        <f>E182+K182-M182</f>
        <v>271316</v>
      </c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ht="62.25" customHeight="1">
      <c r="A183" s="57"/>
      <c r="B183" s="53"/>
      <c r="C183" s="53"/>
      <c r="D183" s="53"/>
      <c r="E183" s="58" t="s">
        <v>35</v>
      </c>
      <c r="F183" s="59" t="s">
        <v>71</v>
      </c>
      <c r="G183" s="55"/>
      <c r="H183" s="55"/>
      <c r="I183" s="55"/>
      <c r="J183" s="55"/>
      <c r="K183" s="55"/>
      <c r="L183" s="55"/>
      <c r="M183" s="55"/>
      <c r="N183" s="5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ht="18.75" customHeight="1">
      <c r="A184" s="70">
        <v>1156.0</v>
      </c>
      <c r="B184" s="71">
        <v>45584.0</v>
      </c>
      <c r="C184" s="72"/>
      <c r="D184" s="73" t="s">
        <v>50</v>
      </c>
      <c r="E184" s="73" t="s">
        <v>15</v>
      </c>
      <c r="F184" s="16" t="s">
        <v>16</v>
      </c>
      <c r="G184" s="17">
        <v>200.0</v>
      </c>
      <c r="H184" s="18">
        <v>76.0</v>
      </c>
      <c r="I184" s="19"/>
      <c r="J184" s="19"/>
      <c r="K184" s="20">
        <f t="shared" ref="K184:K190" si="19">G184*H184</f>
        <v>15200</v>
      </c>
      <c r="L184" s="21" t="s">
        <v>17</v>
      </c>
      <c r="M184" s="20">
        <v>200.0</v>
      </c>
      <c r="N184" s="9" t="s">
        <v>13</v>
      </c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ht="18.75" customHeight="1">
      <c r="A185" s="24"/>
      <c r="B185" s="25"/>
      <c r="C185" s="25"/>
      <c r="D185" s="25"/>
      <c r="E185" s="25"/>
      <c r="F185" s="26" t="s">
        <v>18</v>
      </c>
      <c r="G185" s="27">
        <v>150.0</v>
      </c>
      <c r="H185" s="28">
        <v>48.0</v>
      </c>
      <c r="I185" s="29"/>
      <c r="J185" s="29"/>
      <c r="K185" s="30">
        <f t="shared" si="19"/>
        <v>7200</v>
      </c>
      <c r="L185" s="31" t="s">
        <v>19</v>
      </c>
      <c r="M185" s="30">
        <v>200.0</v>
      </c>
      <c r="N185" s="22">
        <f>K192-M192</f>
        <v>5800</v>
      </c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ht="18.75" customHeight="1">
      <c r="A186" s="24"/>
      <c r="B186" s="25"/>
      <c r="C186" s="25"/>
      <c r="D186" s="25"/>
      <c r="E186" s="25"/>
      <c r="F186" s="33" t="s">
        <v>20</v>
      </c>
      <c r="G186" s="34">
        <v>150.0</v>
      </c>
      <c r="H186" s="28"/>
      <c r="I186" s="32"/>
      <c r="J186" s="32"/>
      <c r="K186" s="35">
        <f t="shared" si="19"/>
        <v>0</v>
      </c>
      <c r="L186" s="36" t="s">
        <v>21</v>
      </c>
      <c r="M186" s="37">
        <v>350.0</v>
      </c>
      <c r="N186" s="32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ht="18.75" customHeight="1">
      <c r="A187" s="24"/>
      <c r="B187" s="25"/>
      <c r="C187" s="25"/>
      <c r="D187" s="25"/>
      <c r="E187" s="25"/>
      <c r="F187" s="39" t="s">
        <v>23</v>
      </c>
      <c r="G187" s="27">
        <v>100.0</v>
      </c>
      <c r="H187" s="40"/>
      <c r="I187" s="29"/>
      <c r="J187" s="29"/>
      <c r="K187" s="30">
        <f t="shared" si="19"/>
        <v>0</v>
      </c>
      <c r="L187" s="41" t="s">
        <v>24</v>
      </c>
      <c r="M187" s="42">
        <v>3500.0</v>
      </c>
      <c r="N187" s="38" t="s">
        <v>22</v>
      </c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ht="18.75" customHeight="1">
      <c r="A188" s="24"/>
      <c r="B188" s="25"/>
      <c r="C188" s="25"/>
      <c r="D188" s="25"/>
      <c r="E188" s="25"/>
      <c r="F188" s="43" t="s">
        <v>25</v>
      </c>
      <c r="G188" s="44">
        <v>200.0</v>
      </c>
      <c r="H188" s="28"/>
      <c r="I188" s="32"/>
      <c r="J188" s="32"/>
      <c r="K188" s="35">
        <f t="shared" si="19"/>
        <v>0</v>
      </c>
      <c r="L188" s="36" t="s">
        <v>26</v>
      </c>
      <c r="M188" s="45">
        <v>8420.0</v>
      </c>
      <c r="N188" s="25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ht="18.75" customHeight="1">
      <c r="A189" s="24"/>
      <c r="B189" s="25"/>
      <c r="C189" s="25"/>
      <c r="D189" s="25"/>
      <c r="E189" s="25"/>
      <c r="F189" s="46" t="s">
        <v>27</v>
      </c>
      <c r="G189" s="34">
        <v>150.0</v>
      </c>
      <c r="H189" s="28"/>
      <c r="I189" s="32"/>
      <c r="J189" s="47"/>
      <c r="K189" s="35">
        <f t="shared" si="19"/>
        <v>0</v>
      </c>
      <c r="L189" s="68"/>
      <c r="M189" s="69"/>
      <c r="N189" s="25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ht="18.75" customHeight="1">
      <c r="A190" s="24"/>
      <c r="B190" s="25"/>
      <c r="C190" s="25"/>
      <c r="D190" s="25"/>
      <c r="E190" s="25"/>
      <c r="F190" s="50" t="s">
        <v>29</v>
      </c>
      <c r="G190" s="34"/>
      <c r="H190" s="28"/>
      <c r="I190" s="32"/>
      <c r="J190" s="47"/>
      <c r="K190" s="35">
        <f t="shared" si="19"/>
        <v>0</v>
      </c>
      <c r="L190" s="48" t="s">
        <v>28</v>
      </c>
      <c r="M190" s="49">
        <f>1250+680</f>
        <v>1930</v>
      </c>
      <c r="N190" s="25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ht="18.75" customHeight="1">
      <c r="A191" s="24"/>
      <c r="B191" s="25"/>
      <c r="C191" s="25"/>
      <c r="D191" s="25"/>
      <c r="E191" s="53"/>
      <c r="F191" s="64" t="s">
        <v>31</v>
      </c>
      <c r="G191" s="65"/>
      <c r="H191" s="32"/>
      <c r="I191" s="29"/>
      <c r="J191" s="29"/>
      <c r="K191" s="35">
        <f>G191*F193:N193</f>
        <v>0</v>
      </c>
      <c r="L191" s="51" t="s">
        <v>30</v>
      </c>
      <c r="M191" s="52">
        <v>2000.0</v>
      </c>
      <c r="N191" s="5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ht="18.75" customHeight="1">
      <c r="A192" s="24"/>
      <c r="B192" s="25"/>
      <c r="C192" s="25"/>
      <c r="D192" s="25"/>
      <c r="E192" s="22">
        <f>N202</f>
        <v>258871</v>
      </c>
      <c r="F192" s="54" t="s">
        <v>33</v>
      </c>
      <c r="G192" s="55"/>
      <c r="H192" s="53"/>
      <c r="I192" s="29"/>
      <c r="J192" s="29"/>
      <c r="K192" s="56">
        <f>SUM(K183:K191)</f>
        <v>22400</v>
      </c>
      <c r="L192" s="41" t="s">
        <v>34</v>
      </c>
      <c r="M192" s="56">
        <f>SUM(M183:M191)</f>
        <v>16600</v>
      </c>
      <c r="N192" s="22">
        <f>E192+K192-M192</f>
        <v>264671</v>
      </c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ht="65.25" customHeight="1">
      <c r="A193" s="57"/>
      <c r="B193" s="53"/>
      <c r="C193" s="53"/>
      <c r="D193" s="53"/>
      <c r="E193" s="58" t="s">
        <v>35</v>
      </c>
      <c r="F193" s="59" t="s">
        <v>72</v>
      </c>
      <c r="G193" s="55"/>
      <c r="H193" s="55"/>
      <c r="I193" s="55"/>
      <c r="J193" s="55"/>
      <c r="K193" s="55"/>
      <c r="L193" s="55"/>
      <c r="M193" s="55"/>
      <c r="N193" s="5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ht="18.75" customHeight="1">
      <c r="A194" s="11">
        <v>1155.0</v>
      </c>
      <c r="B194" s="12">
        <v>45577.0</v>
      </c>
      <c r="C194" s="13"/>
      <c r="D194" s="14" t="s">
        <v>73</v>
      </c>
      <c r="E194" s="15" t="s">
        <v>15</v>
      </c>
      <c r="F194" s="16" t="s">
        <v>16</v>
      </c>
      <c r="G194" s="17">
        <v>200.0</v>
      </c>
      <c r="H194" s="18">
        <v>82.0</v>
      </c>
      <c r="I194" s="19"/>
      <c r="J194" s="19"/>
      <c r="K194" s="20">
        <f t="shared" ref="K194:K200" si="20">G194*H194</f>
        <v>16400</v>
      </c>
      <c r="L194" s="21" t="s">
        <v>17</v>
      </c>
      <c r="M194" s="20">
        <v>200.0</v>
      </c>
      <c r="N194" s="9" t="s">
        <v>13</v>
      </c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ht="18.75" customHeight="1">
      <c r="A195" s="24"/>
      <c r="B195" s="25"/>
      <c r="C195" s="25"/>
      <c r="D195" s="25"/>
      <c r="E195" s="25"/>
      <c r="F195" s="26" t="s">
        <v>18</v>
      </c>
      <c r="G195" s="27">
        <v>150.0</v>
      </c>
      <c r="H195" s="28">
        <v>54.0</v>
      </c>
      <c r="I195" s="29"/>
      <c r="J195" s="29"/>
      <c r="K195" s="30">
        <f t="shared" si="20"/>
        <v>8100</v>
      </c>
      <c r="L195" s="31" t="s">
        <v>19</v>
      </c>
      <c r="M195" s="30">
        <v>200.0</v>
      </c>
      <c r="N195" s="22">
        <f>K202-M202</f>
        <v>6400</v>
      </c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ht="18.75" customHeight="1">
      <c r="A196" s="24"/>
      <c r="B196" s="25"/>
      <c r="C196" s="25"/>
      <c r="D196" s="25"/>
      <c r="E196" s="25"/>
      <c r="F196" s="33" t="s">
        <v>20</v>
      </c>
      <c r="G196" s="34">
        <v>150.0</v>
      </c>
      <c r="H196" s="28"/>
      <c r="I196" s="32"/>
      <c r="J196" s="32"/>
      <c r="K196" s="35">
        <f t="shared" si="20"/>
        <v>0</v>
      </c>
      <c r="L196" s="36" t="s">
        <v>21</v>
      </c>
      <c r="M196" s="37">
        <v>400.0</v>
      </c>
      <c r="N196" s="3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ht="18.75" customHeight="1">
      <c r="A197" s="24"/>
      <c r="B197" s="25"/>
      <c r="C197" s="25"/>
      <c r="D197" s="25"/>
      <c r="E197" s="25"/>
      <c r="F197" s="39" t="s">
        <v>23</v>
      </c>
      <c r="G197" s="27">
        <v>100.0</v>
      </c>
      <c r="H197" s="40"/>
      <c r="I197" s="29"/>
      <c r="J197" s="29"/>
      <c r="K197" s="30">
        <f t="shared" si="20"/>
        <v>0</v>
      </c>
      <c r="L197" s="41" t="s">
        <v>24</v>
      </c>
      <c r="M197" s="42">
        <v>4000.0</v>
      </c>
      <c r="N197" s="38" t="s">
        <v>22</v>
      </c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ht="18.75" customHeight="1">
      <c r="A198" s="24"/>
      <c r="B198" s="25"/>
      <c r="C198" s="25"/>
      <c r="D198" s="25"/>
      <c r="E198" s="25"/>
      <c r="F198" s="43" t="s">
        <v>25</v>
      </c>
      <c r="G198" s="44">
        <v>200.0</v>
      </c>
      <c r="H198" s="28"/>
      <c r="I198" s="32"/>
      <c r="J198" s="32"/>
      <c r="K198" s="35">
        <f t="shared" si="20"/>
        <v>0</v>
      </c>
      <c r="L198" s="36" t="s">
        <v>26</v>
      </c>
      <c r="M198" s="45">
        <v>9280.0</v>
      </c>
      <c r="N198" s="25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ht="18.75" customHeight="1">
      <c r="A199" s="24"/>
      <c r="B199" s="25"/>
      <c r="C199" s="25"/>
      <c r="D199" s="25"/>
      <c r="E199" s="25"/>
      <c r="F199" s="46" t="s">
        <v>27</v>
      </c>
      <c r="G199" s="34">
        <v>150.0</v>
      </c>
      <c r="H199" s="28"/>
      <c r="I199" s="32"/>
      <c r="J199" s="47"/>
      <c r="K199" s="35">
        <f t="shared" si="20"/>
        <v>0</v>
      </c>
      <c r="L199" s="68"/>
      <c r="M199" s="69"/>
      <c r="N199" s="25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ht="18.75" customHeight="1">
      <c r="A200" s="24"/>
      <c r="B200" s="25"/>
      <c r="C200" s="25"/>
      <c r="D200" s="25"/>
      <c r="E200" s="25"/>
      <c r="F200" s="50" t="s">
        <v>29</v>
      </c>
      <c r="G200" s="34"/>
      <c r="H200" s="28"/>
      <c r="I200" s="32"/>
      <c r="J200" s="47"/>
      <c r="K200" s="35">
        <f t="shared" si="20"/>
        <v>0</v>
      </c>
      <c r="L200" s="48" t="s">
        <v>28</v>
      </c>
      <c r="M200" s="49">
        <f>1160+560</f>
        <v>1720</v>
      </c>
      <c r="N200" s="25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ht="18.75" customHeight="1">
      <c r="A201" s="24"/>
      <c r="B201" s="25"/>
      <c r="C201" s="25"/>
      <c r="D201" s="25"/>
      <c r="E201" s="53"/>
      <c r="F201" s="64" t="s">
        <v>31</v>
      </c>
      <c r="G201" s="65"/>
      <c r="H201" s="32"/>
      <c r="I201" s="29"/>
      <c r="J201" s="29"/>
      <c r="K201" s="35">
        <f>G201*F203:N203</f>
        <v>0</v>
      </c>
      <c r="L201" s="51" t="s">
        <v>30</v>
      </c>
      <c r="M201" s="52">
        <v>2300.0</v>
      </c>
      <c r="N201" s="5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ht="18.75" customHeight="1">
      <c r="A202" s="24"/>
      <c r="B202" s="25"/>
      <c r="C202" s="25"/>
      <c r="D202" s="25"/>
      <c r="E202" s="22">
        <f>N212</f>
        <v>252471</v>
      </c>
      <c r="F202" s="54" t="s">
        <v>33</v>
      </c>
      <c r="G202" s="55"/>
      <c r="H202" s="53"/>
      <c r="I202" s="29"/>
      <c r="J202" s="29"/>
      <c r="K202" s="56">
        <f>SUM(K194:K201)</f>
        <v>24500</v>
      </c>
      <c r="L202" s="41" t="s">
        <v>34</v>
      </c>
      <c r="M202" s="56">
        <f>SUM(M194:M201)</f>
        <v>18100</v>
      </c>
      <c r="N202" s="22">
        <f>E202+K202-M202</f>
        <v>258871</v>
      </c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ht="71.25" customHeight="1">
      <c r="A203" s="57"/>
      <c r="B203" s="53"/>
      <c r="C203" s="53"/>
      <c r="D203" s="53"/>
      <c r="E203" s="58" t="s">
        <v>35</v>
      </c>
      <c r="F203" s="59" t="s">
        <v>74</v>
      </c>
      <c r="G203" s="55"/>
      <c r="H203" s="55"/>
      <c r="I203" s="55"/>
      <c r="J203" s="55"/>
      <c r="K203" s="55"/>
      <c r="L203" s="55"/>
      <c r="M203" s="55"/>
      <c r="N203" s="5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ht="18.75" customHeight="1">
      <c r="A204" s="11">
        <v>1154.0</v>
      </c>
      <c r="B204" s="12">
        <v>45570.0</v>
      </c>
      <c r="C204" s="13"/>
      <c r="D204" s="14" t="s">
        <v>75</v>
      </c>
      <c r="E204" s="15" t="s">
        <v>15</v>
      </c>
      <c r="F204" s="16" t="s">
        <v>16</v>
      </c>
      <c r="G204" s="17">
        <v>200.0</v>
      </c>
      <c r="H204" s="18">
        <v>70.0</v>
      </c>
      <c r="I204" s="19"/>
      <c r="J204" s="19"/>
      <c r="K204" s="20">
        <f t="shared" ref="K204:K210" si="21">G204*H204</f>
        <v>14000</v>
      </c>
      <c r="L204" s="21" t="s">
        <v>17</v>
      </c>
      <c r="M204" s="20">
        <v>200.0</v>
      </c>
      <c r="N204" s="9" t="s">
        <v>13</v>
      </c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ht="18.75" customHeight="1">
      <c r="A205" s="24"/>
      <c r="B205" s="25"/>
      <c r="C205" s="25"/>
      <c r="D205" s="25"/>
      <c r="E205" s="25"/>
      <c r="F205" s="26" t="s">
        <v>18</v>
      </c>
      <c r="G205" s="27">
        <v>150.0</v>
      </c>
      <c r="H205" s="28">
        <v>38.0</v>
      </c>
      <c r="I205" s="29"/>
      <c r="J205" s="29"/>
      <c r="K205" s="30">
        <f t="shared" si="21"/>
        <v>5700</v>
      </c>
      <c r="L205" s="31" t="s">
        <v>19</v>
      </c>
      <c r="M205" s="30">
        <v>200.0</v>
      </c>
      <c r="N205" s="22">
        <f>K212-M212</f>
        <v>2280</v>
      </c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ht="18.75" customHeight="1">
      <c r="A206" s="24"/>
      <c r="B206" s="25"/>
      <c r="C206" s="25"/>
      <c r="D206" s="25"/>
      <c r="E206" s="25"/>
      <c r="F206" s="33" t="s">
        <v>20</v>
      </c>
      <c r="G206" s="34">
        <v>150.0</v>
      </c>
      <c r="H206" s="28">
        <v>1.0</v>
      </c>
      <c r="I206" s="32"/>
      <c r="J206" s="32"/>
      <c r="K206" s="35">
        <f t="shared" si="21"/>
        <v>150</v>
      </c>
      <c r="L206" s="36" t="s">
        <v>21</v>
      </c>
      <c r="M206" s="37">
        <v>400.0</v>
      </c>
      <c r="N206" s="32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ht="18.75" customHeight="1">
      <c r="A207" s="24"/>
      <c r="B207" s="25"/>
      <c r="C207" s="25"/>
      <c r="D207" s="25"/>
      <c r="E207" s="25"/>
      <c r="F207" s="39" t="s">
        <v>23</v>
      </c>
      <c r="G207" s="27">
        <v>100.0</v>
      </c>
      <c r="H207" s="40"/>
      <c r="I207" s="29"/>
      <c r="J207" s="29"/>
      <c r="K207" s="30">
        <f t="shared" si="21"/>
        <v>0</v>
      </c>
      <c r="L207" s="41" t="s">
        <v>24</v>
      </c>
      <c r="M207" s="42">
        <v>3500.0</v>
      </c>
      <c r="N207" s="38" t="s">
        <v>22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ht="18.75" customHeight="1">
      <c r="A208" s="24"/>
      <c r="B208" s="25"/>
      <c r="C208" s="25"/>
      <c r="D208" s="25"/>
      <c r="E208" s="25"/>
      <c r="F208" s="43" t="s">
        <v>25</v>
      </c>
      <c r="G208" s="44">
        <v>200.0</v>
      </c>
      <c r="H208" s="28"/>
      <c r="I208" s="32"/>
      <c r="J208" s="32"/>
      <c r="K208" s="35">
        <f t="shared" si="21"/>
        <v>0</v>
      </c>
      <c r="L208" s="36" t="s">
        <v>26</v>
      </c>
      <c r="M208" s="45">
        <v>7430.0</v>
      </c>
      <c r="N208" s="25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ht="18.75" customHeight="1">
      <c r="A209" s="24"/>
      <c r="B209" s="25"/>
      <c r="C209" s="25"/>
      <c r="D209" s="25"/>
      <c r="E209" s="25"/>
      <c r="F209" s="46" t="s">
        <v>27</v>
      </c>
      <c r="G209" s="34">
        <v>150.0</v>
      </c>
      <c r="H209" s="28"/>
      <c r="I209" s="32"/>
      <c r="J209" s="47"/>
      <c r="K209" s="35">
        <f t="shared" si="21"/>
        <v>0</v>
      </c>
      <c r="L209" s="68"/>
      <c r="M209" s="69"/>
      <c r="N209" s="25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ht="18.75" customHeight="1">
      <c r="A210" s="24"/>
      <c r="B210" s="25"/>
      <c r="C210" s="25"/>
      <c r="D210" s="25"/>
      <c r="E210" s="25"/>
      <c r="F210" s="50" t="s">
        <v>29</v>
      </c>
      <c r="G210" s="34"/>
      <c r="H210" s="28"/>
      <c r="I210" s="32"/>
      <c r="J210" s="47"/>
      <c r="K210" s="35">
        <f t="shared" si="21"/>
        <v>0</v>
      </c>
      <c r="L210" s="48" t="s">
        <v>28</v>
      </c>
      <c r="M210" s="49">
        <f>1430+1230</f>
        <v>2660</v>
      </c>
      <c r="N210" s="25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ht="18.75" customHeight="1">
      <c r="A211" s="24"/>
      <c r="B211" s="25"/>
      <c r="C211" s="25"/>
      <c r="D211" s="25"/>
      <c r="E211" s="53"/>
      <c r="F211" s="64" t="s">
        <v>31</v>
      </c>
      <c r="G211" s="65"/>
      <c r="H211" s="32"/>
      <c r="I211" s="29"/>
      <c r="J211" s="29"/>
      <c r="K211" s="35">
        <f>G211*F213:N213</f>
        <v>0</v>
      </c>
      <c r="L211" s="51" t="s">
        <v>30</v>
      </c>
      <c r="M211" s="52">
        <f>1200+1980</f>
        <v>3180</v>
      </c>
      <c r="N211" s="5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ht="18.75" customHeight="1">
      <c r="A212" s="24"/>
      <c r="B212" s="25"/>
      <c r="C212" s="25"/>
      <c r="D212" s="25"/>
      <c r="E212" s="22">
        <f>N222</f>
        <v>250191</v>
      </c>
      <c r="F212" s="54" t="s">
        <v>33</v>
      </c>
      <c r="G212" s="55"/>
      <c r="H212" s="53"/>
      <c r="I212" s="29"/>
      <c r="J212" s="29"/>
      <c r="K212" s="56">
        <f>SUM(K204:K211)</f>
        <v>19850</v>
      </c>
      <c r="L212" s="41" t="s">
        <v>34</v>
      </c>
      <c r="M212" s="56">
        <f>SUM(M204:M211)</f>
        <v>17570</v>
      </c>
      <c r="N212" s="22">
        <f>E212+K212-M212</f>
        <v>252471</v>
      </c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ht="61.5" customHeight="1">
      <c r="A213" s="57"/>
      <c r="B213" s="53"/>
      <c r="C213" s="53"/>
      <c r="D213" s="53"/>
      <c r="E213" s="58" t="s">
        <v>35</v>
      </c>
      <c r="F213" s="59" t="s">
        <v>76</v>
      </c>
      <c r="G213" s="55"/>
      <c r="H213" s="55"/>
      <c r="I213" s="55"/>
      <c r="J213" s="55"/>
      <c r="K213" s="55"/>
      <c r="L213" s="55"/>
      <c r="M213" s="55"/>
      <c r="N213" s="5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ht="18.75" customHeight="1">
      <c r="A214" s="11">
        <v>1153.0</v>
      </c>
      <c r="B214" s="12">
        <v>45563.0</v>
      </c>
      <c r="C214" s="13"/>
      <c r="D214" s="14" t="s">
        <v>68</v>
      </c>
      <c r="E214" s="15" t="s">
        <v>15</v>
      </c>
      <c r="F214" s="16" t="s">
        <v>16</v>
      </c>
      <c r="G214" s="17">
        <v>200.0</v>
      </c>
      <c r="H214" s="18">
        <v>70.0</v>
      </c>
      <c r="I214" s="19"/>
      <c r="J214" s="19"/>
      <c r="K214" s="20">
        <f t="shared" ref="K214:K220" si="22">G214*H214</f>
        <v>14000</v>
      </c>
      <c r="L214" s="21" t="s">
        <v>17</v>
      </c>
      <c r="M214" s="20">
        <v>200.0</v>
      </c>
      <c r="N214" s="9" t="s">
        <v>13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ht="18.75" customHeight="1">
      <c r="A215" s="24"/>
      <c r="B215" s="25"/>
      <c r="C215" s="25"/>
      <c r="D215" s="25"/>
      <c r="E215" s="25"/>
      <c r="F215" s="26" t="s">
        <v>18</v>
      </c>
      <c r="G215" s="27">
        <v>150.0</v>
      </c>
      <c r="H215" s="28">
        <v>45.0</v>
      </c>
      <c r="I215" s="29"/>
      <c r="J215" s="29"/>
      <c r="K215" s="30">
        <f t="shared" si="22"/>
        <v>6750</v>
      </c>
      <c r="L215" s="31" t="s">
        <v>19</v>
      </c>
      <c r="M215" s="30">
        <v>200.0</v>
      </c>
      <c r="N215" s="22">
        <f>K222-M222</f>
        <v>7005</v>
      </c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ht="18.75" customHeight="1">
      <c r="A216" s="24"/>
      <c r="B216" s="25"/>
      <c r="C216" s="25"/>
      <c r="D216" s="25"/>
      <c r="E216" s="25"/>
      <c r="F216" s="33" t="s">
        <v>20</v>
      </c>
      <c r="G216" s="34">
        <v>150.0</v>
      </c>
      <c r="H216" s="28">
        <v>1.0</v>
      </c>
      <c r="I216" s="32"/>
      <c r="J216" s="32"/>
      <c r="K216" s="35">
        <f t="shared" si="22"/>
        <v>150</v>
      </c>
      <c r="L216" s="36" t="s">
        <v>21</v>
      </c>
      <c r="M216" s="37">
        <v>350.0</v>
      </c>
      <c r="N216" s="32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ht="18.75" customHeight="1">
      <c r="A217" s="24"/>
      <c r="B217" s="25"/>
      <c r="C217" s="25"/>
      <c r="D217" s="25"/>
      <c r="E217" s="25"/>
      <c r="F217" s="39" t="s">
        <v>23</v>
      </c>
      <c r="G217" s="27">
        <v>100.0</v>
      </c>
      <c r="H217" s="40">
        <v>1.0</v>
      </c>
      <c r="I217" s="29"/>
      <c r="J217" s="29"/>
      <c r="K217" s="30">
        <f t="shared" si="22"/>
        <v>100</v>
      </c>
      <c r="L217" s="41" t="s">
        <v>24</v>
      </c>
      <c r="M217" s="42">
        <v>4000.0</v>
      </c>
      <c r="N217" s="38" t="s">
        <v>22</v>
      </c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ht="18.75" customHeight="1">
      <c r="A218" s="24"/>
      <c r="B218" s="25"/>
      <c r="C218" s="25"/>
      <c r="D218" s="25"/>
      <c r="E218" s="25"/>
      <c r="F218" s="43" t="s">
        <v>25</v>
      </c>
      <c r="G218" s="44">
        <v>200.0</v>
      </c>
      <c r="H218" s="28"/>
      <c r="I218" s="32"/>
      <c r="J218" s="32"/>
      <c r="K218" s="35">
        <f t="shared" si="22"/>
        <v>0</v>
      </c>
      <c r="L218" s="36" t="s">
        <v>26</v>
      </c>
      <c r="M218" s="45">
        <v>6710.0</v>
      </c>
      <c r="N218" s="25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ht="18.75" customHeight="1">
      <c r="A219" s="24"/>
      <c r="B219" s="25"/>
      <c r="C219" s="25"/>
      <c r="D219" s="25"/>
      <c r="E219" s="25"/>
      <c r="F219" s="46" t="s">
        <v>27</v>
      </c>
      <c r="G219" s="34">
        <v>150.0</v>
      </c>
      <c r="H219" s="28"/>
      <c r="I219" s="32"/>
      <c r="J219" s="47"/>
      <c r="K219" s="35">
        <f t="shared" si="22"/>
        <v>0</v>
      </c>
      <c r="L219" s="68"/>
      <c r="M219" s="69"/>
      <c r="N219" s="25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ht="18.75" customHeight="1">
      <c r="A220" s="24"/>
      <c r="B220" s="25"/>
      <c r="C220" s="25"/>
      <c r="D220" s="25"/>
      <c r="E220" s="25"/>
      <c r="F220" s="50" t="s">
        <v>29</v>
      </c>
      <c r="G220" s="34"/>
      <c r="H220" s="28"/>
      <c r="I220" s="32"/>
      <c r="J220" s="47"/>
      <c r="K220" s="35">
        <f t="shared" si="22"/>
        <v>0</v>
      </c>
      <c r="L220" s="48" t="s">
        <v>28</v>
      </c>
      <c r="M220" s="49">
        <f>1365+1170</f>
        <v>2535</v>
      </c>
      <c r="N220" s="25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ht="18.75" customHeight="1">
      <c r="A221" s="24"/>
      <c r="B221" s="25"/>
      <c r="C221" s="25"/>
      <c r="D221" s="25"/>
      <c r="E221" s="53"/>
      <c r="F221" s="64" t="s">
        <v>31</v>
      </c>
      <c r="G221" s="65"/>
      <c r="H221" s="32"/>
      <c r="I221" s="29"/>
      <c r="J221" s="29"/>
      <c r="K221" s="35">
        <f>G221*F223:N223</f>
        <v>0</v>
      </c>
      <c r="L221" s="51" t="s">
        <v>30</v>
      </c>
      <c r="M221" s="52"/>
      <c r="N221" s="5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ht="18.75" customHeight="1">
      <c r="A222" s="24"/>
      <c r="B222" s="25"/>
      <c r="C222" s="25"/>
      <c r="D222" s="25"/>
      <c r="E222" s="22">
        <f>N232</f>
        <v>243186</v>
      </c>
      <c r="F222" s="54" t="s">
        <v>33</v>
      </c>
      <c r="G222" s="55"/>
      <c r="H222" s="53"/>
      <c r="I222" s="29"/>
      <c r="J222" s="29"/>
      <c r="K222" s="56">
        <f>SUM(K214:K221)</f>
        <v>21000</v>
      </c>
      <c r="L222" s="41" t="s">
        <v>34</v>
      </c>
      <c r="M222" s="56">
        <f>SUM(M214:M221)</f>
        <v>13995</v>
      </c>
      <c r="N222" s="22">
        <f>E222+K222-M222</f>
        <v>250191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ht="56.25" customHeight="1">
      <c r="A223" s="57"/>
      <c r="B223" s="53"/>
      <c r="C223" s="53"/>
      <c r="D223" s="53"/>
      <c r="E223" s="58" t="s">
        <v>35</v>
      </c>
      <c r="F223" s="59" t="s">
        <v>77</v>
      </c>
      <c r="G223" s="55"/>
      <c r="H223" s="55"/>
      <c r="I223" s="55"/>
      <c r="J223" s="55"/>
      <c r="K223" s="55"/>
      <c r="L223" s="55"/>
      <c r="M223" s="55"/>
      <c r="N223" s="5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ht="18.75" customHeight="1">
      <c r="A224" s="11">
        <v>1152.0</v>
      </c>
      <c r="B224" s="12">
        <v>45556.0</v>
      </c>
      <c r="C224" s="13"/>
      <c r="D224" s="14" t="s">
        <v>78</v>
      </c>
      <c r="E224" s="15" t="s">
        <v>15</v>
      </c>
      <c r="F224" s="16" t="s">
        <v>16</v>
      </c>
      <c r="G224" s="17">
        <v>200.0</v>
      </c>
      <c r="H224" s="18">
        <v>65.0</v>
      </c>
      <c r="I224" s="19"/>
      <c r="J224" s="19"/>
      <c r="K224" s="20">
        <f t="shared" ref="K224:K230" si="23">G224*H224</f>
        <v>13000</v>
      </c>
      <c r="L224" s="21" t="s">
        <v>17</v>
      </c>
      <c r="M224" s="20">
        <v>200.0</v>
      </c>
      <c r="N224" s="9" t="s">
        <v>13</v>
      </c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ht="18.75" customHeight="1">
      <c r="A225" s="24"/>
      <c r="B225" s="25"/>
      <c r="C225" s="25"/>
      <c r="D225" s="25"/>
      <c r="E225" s="25"/>
      <c r="F225" s="26" t="s">
        <v>18</v>
      </c>
      <c r="G225" s="27">
        <v>150.0</v>
      </c>
      <c r="H225" s="28">
        <v>46.0</v>
      </c>
      <c r="I225" s="29"/>
      <c r="J225" s="29"/>
      <c r="K225" s="30">
        <f t="shared" si="23"/>
        <v>6900</v>
      </c>
      <c r="L225" s="31" t="s">
        <v>19</v>
      </c>
      <c r="M225" s="30">
        <v>200.0</v>
      </c>
      <c r="N225" s="22">
        <f>K232-M232</f>
        <v>7810</v>
      </c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ht="18.75" customHeight="1">
      <c r="A226" s="24"/>
      <c r="B226" s="25"/>
      <c r="C226" s="25"/>
      <c r="D226" s="25"/>
      <c r="E226" s="25"/>
      <c r="F226" s="33" t="s">
        <v>20</v>
      </c>
      <c r="G226" s="34">
        <v>150.0</v>
      </c>
      <c r="H226" s="28">
        <v>1.0</v>
      </c>
      <c r="I226" s="32"/>
      <c r="J226" s="32"/>
      <c r="K226" s="35">
        <f t="shared" si="23"/>
        <v>150</v>
      </c>
      <c r="L226" s="36" t="s">
        <v>21</v>
      </c>
      <c r="M226" s="37">
        <v>400.0</v>
      </c>
      <c r="N226" s="32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ht="18.75" customHeight="1">
      <c r="A227" s="24"/>
      <c r="B227" s="25"/>
      <c r="C227" s="25"/>
      <c r="D227" s="25"/>
      <c r="E227" s="25"/>
      <c r="F227" s="39" t="s">
        <v>23</v>
      </c>
      <c r="G227" s="27">
        <v>100.0</v>
      </c>
      <c r="H227" s="40"/>
      <c r="I227" s="29"/>
      <c r="J227" s="29"/>
      <c r="K227" s="30">
        <f t="shared" si="23"/>
        <v>0</v>
      </c>
      <c r="L227" s="41" t="s">
        <v>24</v>
      </c>
      <c r="M227" s="42">
        <v>3500.0</v>
      </c>
      <c r="N227" s="38" t="s">
        <v>22</v>
      </c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ht="18.75" customHeight="1">
      <c r="A228" s="24"/>
      <c r="B228" s="25"/>
      <c r="C228" s="25"/>
      <c r="D228" s="25"/>
      <c r="E228" s="25"/>
      <c r="F228" s="43" t="s">
        <v>25</v>
      </c>
      <c r="G228" s="44">
        <v>200.0</v>
      </c>
      <c r="H228" s="28"/>
      <c r="I228" s="32"/>
      <c r="J228" s="32"/>
      <c r="K228" s="35">
        <f t="shared" si="23"/>
        <v>0</v>
      </c>
      <c r="L228" s="36" t="s">
        <v>26</v>
      </c>
      <c r="M228" s="45">
        <v>5260.0</v>
      </c>
      <c r="N228" s="25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ht="18.75" customHeight="1">
      <c r="A229" s="24"/>
      <c r="B229" s="25"/>
      <c r="C229" s="25"/>
      <c r="D229" s="25"/>
      <c r="E229" s="25"/>
      <c r="F229" s="46" t="s">
        <v>27</v>
      </c>
      <c r="G229" s="34">
        <v>150.0</v>
      </c>
      <c r="H229" s="28"/>
      <c r="I229" s="32"/>
      <c r="J229" s="47"/>
      <c r="K229" s="35">
        <f t="shared" si="23"/>
        <v>0</v>
      </c>
      <c r="L229" s="68"/>
      <c r="M229" s="69"/>
      <c r="N229" s="25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ht="18.75" customHeight="1">
      <c r="A230" s="24"/>
      <c r="B230" s="25"/>
      <c r="C230" s="25"/>
      <c r="D230" s="25"/>
      <c r="E230" s="25"/>
      <c r="F230" s="50" t="s">
        <v>29</v>
      </c>
      <c r="G230" s="34"/>
      <c r="H230" s="28"/>
      <c r="I230" s="32"/>
      <c r="J230" s="47"/>
      <c r="K230" s="35">
        <f t="shared" si="23"/>
        <v>0</v>
      </c>
      <c r="L230" s="48" t="s">
        <v>28</v>
      </c>
      <c r="M230" s="49">
        <f>1340+1340</f>
        <v>2680</v>
      </c>
      <c r="N230" s="25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ht="18.75" customHeight="1">
      <c r="A231" s="24"/>
      <c r="B231" s="25"/>
      <c r="C231" s="25"/>
      <c r="D231" s="25"/>
      <c r="E231" s="53"/>
      <c r="F231" s="64" t="s">
        <v>31</v>
      </c>
      <c r="G231" s="65"/>
      <c r="H231" s="32"/>
      <c r="I231" s="29"/>
      <c r="J231" s="29"/>
      <c r="K231" s="35">
        <f>G231*F233:N233</f>
        <v>0</v>
      </c>
      <c r="L231" s="51" t="s">
        <v>30</v>
      </c>
      <c r="M231" s="52"/>
      <c r="N231" s="5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ht="18.75" customHeight="1">
      <c r="A232" s="24"/>
      <c r="B232" s="25"/>
      <c r="C232" s="25"/>
      <c r="D232" s="25"/>
      <c r="E232" s="22">
        <f>N242</f>
        <v>235376</v>
      </c>
      <c r="F232" s="54" t="s">
        <v>33</v>
      </c>
      <c r="G232" s="55"/>
      <c r="H232" s="53"/>
      <c r="I232" s="29"/>
      <c r="J232" s="29"/>
      <c r="K232" s="56">
        <f>SUM(K224:K231)</f>
        <v>20050</v>
      </c>
      <c r="L232" s="41" t="s">
        <v>34</v>
      </c>
      <c r="M232" s="56">
        <f>SUM(M224:M231)</f>
        <v>12240</v>
      </c>
      <c r="N232" s="22">
        <f>E232+K232-M232</f>
        <v>243186</v>
      </c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ht="56.25" customHeight="1">
      <c r="A233" s="57"/>
      <c r="B233" s="53"/>
      <c r="C233" s="53"/>
      <c r="D233" s="53"/>
      <c r="E233" s="58" t="s">
        <v>35</v>
      </c>
      <c r="F233" s="59" t="s">
        <v>79</v>
      </c>
      <c r="G233" s="55"/>
      <c r="H233" s="55"/>
      <c r="I233" s="55"/>
      <c r="J233" s="55"/>
      <c r="K233" s="55"/>
      <c r="L233" s="55"/>
      <c r="M233" s="55"/>
      <c r="N233" s="5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ht="18.75" customHeight="1">
      <c r="A234" s="11">
        <v>1151.0</v>
      </c>
      <c r="B234" s="12">
        <v>45549.0</v>
      </c>
      <c r="C234" s="13"/>
      <c r="D234" s="14" t="s">
        <v>68</v>
      </c>
      <c r="E234" s="15" t="s">
        <v>15</v>
      </c>
      <c r="F234" s="16" t="s">
        <v>16</v>
      </c>
      <c r="G234" s="17">
        <v>200.0</v>
      </c>
      <c r="H234" s="18">
        <v>89.0</v>
      </c>
      <c r="I234" s="19"/>
      <c r="J234" s="19"/>
      <c r="K234" s="20">
        <f t="shared" ref="K234:K240" si="24">G234*H234</f>
        <v>17800</v>
      </c>
      <c r="L234" s="21" t="s">
        <v>17</v>
      </c>
      <c r="M234" s="20">
        <v>200.0</v>
      </c>
      <c r="N234" s="9" t="s">
        <v>13</v>
      </c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ht="18.75" customHeight="1">
      <c r="A235" s="24"/>
      <c r="B235" s="25"/>
      <c r="C235" s="25"/>
      <c r="D235" s="25"/>
      <c r="E235" s="25"/>
      <c r="F235" s="26" t="s">
        <v>18</v>
      </c>
      <c r="G235" s="27">
        <v>150.0</v>
      </c>
      <c r="H235" s="28">
        <v>42.0</v>
      </c>
      <c r="I235" s="29"/>
      <c r="J235" s="29"/>
      <c r="K235" s="30">
        <f t="shared" si="24"/>
        <v>6300</v>
      </c>
      <c r="L235" s="31" t="s">
        <v>19</v>
      </c>
      <c r="M235" s="30">
        <v>200.0</v>
      </c>
      <c r="N235" s="22">
        <f>K242-M242</f>
        <v>9145</v>
      </c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ht="18.75" customHeight="1">
      <c r="A236" s="24"/>
      <c r="B236" s="25"/>
      <c r="C236" s="25"/>
      <c r="D236" s="25"/>
      <c r="E236" s="25"/>
      <c r="F236" s="33" t="s">
        <v>20</v>
      </c>
      <c r="G236" s="34">
        <v>150.0</v>
      </c>
      <c r="H236" s="28">
        <v>1.0</v>
      </c>
      <c r="I236" s="32"/>
      <c r="J236" s="32"/>
      <c r="K236" s="35">
        <f t="shared" si="24"/>
        <v>150</v>
      </c>
      <c r="L236" s="36" t="s">
        <v>21</v>
      </c>
      <c r="M236" s="37">
        <v>350.0</v>
      </c>
      <c r="N236" s="32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ht="18.75" customHeight="1">
      <c r="A237" s="24"/>
      <c r="B237" s="25"/>
      <c r="C237" s="25"/>
      <c r="D237" s="25"/>
      <c r="E237" s="25"/>
      <c r="F237" s="39" t="s">
        <v>23</v>
      </c>
      <c r="G237" s="27">
        <v>100.0</v>
      </c>
      <c r="H237" s="40"/>
      <c r="I237" s="29"/>
      <c r="J237" s="29"/>
      <c r="K237" s="30">
        <f t="shared" si="24"/>
        <v>0</v>
      </c>
      <c r="L237" s="41" t="s">
        <v>24</v>
      </c>
      <c r="M237" s="42">
        <v>4000.0</v>
      </c>
      <c r="N237" s="38" t="s">
        <v>22</v>
      </c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ht="18.75" customHeight="1">
      <c r="A238" s="24"/>
      <c r="B238" s="25"/>
      <c r="C238" s="25"/>
      <c r="D238" s="25"/>
      <c r="E238" s="25"/>
      <c r="F238" s="43" t="s">
        <v>25</v>
      </c>
      <c r="G238" s="44">
        <v>200.0</v>
      </c>
      <c r="H238" s="28"/>
      <c r="I238" s="32"/>
      <c r="J238" s="32"/>
      <c r="K238" s="35">
        <f t="shared" si="24"/>
        <v>0</v>
      </c>
      <c r="L238" s="36" t="s">
        <v>26</v>
      </c>
      <c r="M238" s="45">
        <v>6710.0</v>
      </c>
      <c r="N238" s="25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ht="18.75" customHeight="1">
      <c r="A239" s="24"/>
      <c r="B239" s="25"/>
      <c r="C239" s="25"/>
      <c r="D239" s="25"/>
      <c r="E239" s="25"/>
      <c r="F239" s="46" t="s">
        <v>27</v>
      </c>
      <c r="G239" s="34">
        <v>150.0</v>
      </c>
      <c r="H239" s="28"/>
      <c r="I239" s="32"/>
      <c r="J239" s="47"/>
      <c r="K239" s="35">
        <f t="shared" si="24"/>
        <v>0</v>
      </c>
      <c r="L239" s="68"/>
      <c r="M239" s="69"/>
      <c r="N239" s="25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ht="18.75" customHeight="1">
      <c r="A240" s="24"/>
      <c r="B240" s="25"/>
      <c r="C240" s="25"/>
      <c r="D240" s="25"/>
      <c r="E240" s="25"/>
      <c r="F240" s="74" t="s">
        <v>80</v>
      </c>
      <c r="G240" s="34">
        <v>100.0</v>
      </c>
      <c r="H240" s="28">
        <v>3.0</v>
      </c>
      <c r="I240" s="32"/>
      <c r="J240" s="47"/>
      <c r="K240" s="35">
        <f t="shared" si="24"/>
        <v>300</v>
      </c>
      <c r="L240" s="48" t="s">
        <v>28</v>
      </c>
      <c r="M240" s="49">
        <f>1050+1340+355</f>
        <v>2745</v>
      </c>
      <c r="N240" s="25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ht="18.75" customHeight="1">
      <c r="A241" s="24"/>
      <c r="B241" s="25"/>
      <c r="C241" s="25"/>
      <c r="D241" s="25"/>
      <c r="E241" s="53"/>
      <c r="F241" s="64" t="s">
        <v>31</v>
      </c>
      <c r="G241" s="65"/>
      <c r="H241" s="32"/>
      <c r="I241" s="29"/>
      <c r="J241" s="29"/>
      <c r="K241" s="35">
        <f>G241*F243:N243</f>
        <v>0</v>
      </c>
      <c r="L241" s="51" t="s">
        <v>30</v>
      </c>
      <c r="M241" s="52">
        <f>1200</f>
        <v>1200</v>
      </c>
      <c r="N241" s="5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ht="18.75" customHeight="1">
      <c r="A242" s="24"/>
      <c r="B242" s="25"/>
      <c r="C242" s="25"/>
      <c r="D242" s="25"/>
      <c r="E242" s="22">
        <f>N252</f>
        <v>226231</v>
      </c>
      <c r="F242" s="54" t="s">
        <v>33</v>
      </c>
      <c r="G242" s="55"/>
      <c r="H242" s="53"/>
      <c r="I242" s="29"/>
      <c r="J242" s="29"/>
      <c r="K242" s="56">
        <f>SUM(K234:K241)</f>
        <v>24550</v>
      </c>
      <c r="L242" s="41" t="s">
        <v>34</v>
      </c>
      <c r="M242" s="56">
        <f>SUM(M234:M241)</f>
        <v>15405</v>
      </c>
      <c r="N242" s="22">
        <f>E242+K242-M242</f>
        <v>235376</v>
      </c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ht="77.25" customHeight="1">
      <c r="A243" s="57"/>
      <c r="B243" s="53"/>
      <c r="C243" s="53"/>
      <c r="D243" s="53"/>
      <c r="E243" s="58" t="s">
        <v>35</v>
      </c>
      <c r="F243" s="59" t="s">
        <v>81</v>
      </c>
      <c r="G243" s="55"/>
      <c r="H243" s="55"/>
      <c r="I243" s="55"/>
      <c r="J243" s="55"/>
      <c r="K243" s="55"/>
      <c r="L243" s="55"/>
      <c r="M243" s="55"/>
      <c r="N243" s="5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ht="18.75" customHeight="1">
      <c r="A244" s="11">
        <v>1150.0</v>
      </c>
      <c r="B244" s="12">
        <v>45542.0</v>
      </c>
      <c r="C244" s="13"/>
      <c r="D244" s="14" t="s">
        <v>82</v>
      </c>
      <c r="E244" s="15" t="s">
        <v>15</v>
      </c>
      <c r="F244" s="16" t="s">
        <v>16</v>
      </c>
      <c r="G244" s="17">
        <v>200.0</v>
      </c>
      <c r="H244" s="18">
        <v>109.0</v>
      </c>
      <c r="I244" s="19"/>
      <c r="J244" s="19"/>
      <c r="K244" s="20">
        <f t="shared" ref="K244:K250" si="25">G244*H244</f>
        <v>21800</v>
      </c>
      <c r="L244" s="21" t="s">
        <v>17</v>
      </c>
      <c r="M244" s="20">
        <v>200.0</v>
      </c>
      <c r="N244" s="9" t="s">
        <v>13</v>
      </c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ht="18.75" customHeight="1">
      <c r="A245" s="24"/>
      <c r="B245" s="25"/>
      <c r="C245" s="25"/>
      <c r="D245" s="25"/>
      <c r="E245" s="25"/>
      <c r="F245" s="26" t="s">
        <v>18</v>
      </c>
      <c r="G245" s="27">
        <v>150.0</v>
      </c>
      <c r="H245" s="28">
        <v>59.0</v>
      </c>
      <c r="I245" s="29"/>
      <c r="J245" s="29"/>
      <c r="K245" s="30">
        <f t="shared" si="25"/>
        <v>8850</v>
      </c>
      <c r="L245" s="31" t="s">
        <v>19</v>
      </c>
      <c r="M245" s="30">
        <v>200.0</v>
      </c>
      <c r="N245" s="22">
        <f>K252-M252</f>
        <v>5865</v>
      </c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ht="18.75" customHeight="1">
      <c r="A246" s="24"/>
      <c r="B246" s="25"/>
      <c r="C246" s="25"/>
      <c r="D246" s="25"/>
      <c r="E246" s="25"/>
      <c r="F246" s="33" t="s">
        <v>20</v>
      </c>
      <c r="G246" s="34">
        <v>150.0</v>
      </c>
      <c r="H246" s="28">
        <v>1.0</v>
      </c>
      <c r="I246" s="32"/>
      <c r="J246" s="32"/>
      <c r="K246" s="35">
        <f t="shared" si="25"/>
        <v>150</v>
      </c>
      <c r="L246" s="36" t="s">
        <v>21</v>
      </c>
      <c r="M246" s="37">
        <v>350.0</v>
      </c>
      <c r="N246" s="32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ht="18.75" customHeight="1">
      <c r="A247" s="24"/>
      <c r="B247" s="25"/>
      <c r="C247" s="25"/>
      <c r="D247" s="25"/>
      <c r="E247" s="25"/>
      <c r="F247" s="39" t="s">
        <v>23</v>
      </c>
      <c r="G247" s="27">
        <v>100.0</v>
      </c>
      <c r="H247" s="40"/>
      <c r="I247" s="29"/>
      <c r="J247" s="29"/>
      <c r="K247" s="30">
        <f t="shared" si="25"/>
        <v>0</v>
      </c>
      <c r="L247" s="41" t="s">
        <v>24</v>
      </c>
      <c r="M247" s="42">
        <v>3500.0</v>
      </c>
      <c r="N247" s="38" t="s">
        <v>22</v>
      </c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ht="18.75" customHeight="1">
      <c r="A248" s="24"/>
      <c r="B248" s="25"/>
      <c r="C248" s="25"/>
      <c r="D248" s="25"/>
      <c r="E248" s="25"/>
      <c r="F248" s="43" t="s">
        <v>25</v>
      </c>
      <c r="G248" s="44">
        <v>200.0</v>
      </c>
      <c r="H248" s="28">
        <v>2.0</v>
      </c>
      <c r="I248" s="32"/>
      <c r="J248" s="32"/>
      <c r="K248" s="35">
        <f t="shared" si="25"/>
        <v>400</v>
      </c>
      <c r="L248" s="36" t="s">
        <v>26</v>
      </c>
      <c r="M248" s="45">
        <v>12180.0</v>
      </c>
      <c r="N248" s="25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ht="18.75" customHeight="1">
      <c r="A249" s="24"/>
      <c r="B249" s="25"/>
      <c r="C249" s="25"/>
      <c r="D249" s="25"/>
      <c r="E249" s="25"/>
      <c r="F249" s="46" t="s">
        <v>27</v>
      </c>
      <c r="G249" s="34">
        <v>150.0</v>
      </c>
      <c r="H249" s="28"/>
      <c r="I249" s="32"/>
      <c r="J249" s="47"/>
      <c r="K249" s="35">
        <f t="shared" si="25"/>
        <v>0</v>
      </c>
      <c r="L249" s="68"/>
      <c r="M249" s="69"/>
      <c r="N249" s="25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ht="18.75" customHeight="1">
      <c r="A250" s="24"/>
      <c r="B250" s="25"/>
      <c r="C250" s="25"/>
      <c r="D250" s="25"/>
      <c r="E250" s="25"/>
      <c r="F250" s="75" t="s">
        <v>29</v>
      </c>
      <c r="G250" s="34"/>
      <c r="H250" s="28"/>
      <c r="I250" s="32"/>
      <c r="J250" s="47"/>
      <c r="K250" s="35">
        <f t="shared" si="25"/>
        <v>0</v>
      </c>
      <c r="L250" s="48" t="s">
        <v>28</v>
      </c>
      <c r="M250" s="49">
        <f>1385+1340</f>
        <v>2725</v>
      </c>
      <c r="N250" s="25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ht="18.75" customHeight="1">
      <c r="A251" s="24"/>
      <c r="B251" s="25"/>
      <c r="C251" s="25"/>
      <c r="D251" s="25"/>
      <c r="E251" s="53"/>
      <c r="F251" s="64" t="s">
        <v>31</v>
      </c>
      <c r="G251" s="65"/>
      <c r="H251" s="32"/>
      <c r="I251" s="29"/>
      <c r="J251" s="29"/>
      <c r="K251" s="35">
        <f>G251*F253:N253</f>
        <v>0</v>
      </c>
      <c r="L251" s="51" t="s">
        <v>30</v>
      </c>
      <c r="M251" s="52">
        <f>1980+1200+3000</f>
        <v>6180</v>
      </c>
      <c r="N251" s="5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ht="18.75" customHeight="1">
      <c r="A252" s="24"/>
      <c r="B252" s="25"/>
      <c r="C252" s="25"/>
      <c r="D252" s="25"/>
      <c r="E252" s="22">
        <f>N262</f>
        <v>220366</v>
      </c>
      <c r="F252" s="54" t="s">
        <v>33</v>
      </c>
      <c r="G252" s="55"/>
      <c r="H252" s="53"/>
      <c r="I252" s="29"/>
      <c r="J252" s="29"/>
      <c r="K252" s="56">
        <f>SUM(K244:K251)</f>
        <v>31200</v>
      </c>
      <c r="L252" s="41" t="s">
        <v>34</v>
      </c>
      <c r="M252" s="56">
        <f>SUM(M244:M251)</f>
        <v>25335</v>
      </c>
      <c r="N252" s="22">
        <f>E252+K252-M252</f>
        <v>226231</v>
      </c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ht="60.75" customHeight="1">
      <c r="A253" s="57"/>
      <c r="B253" s="53"/>
      <c r="C253" s="53"/>
      <c r="D253" s="53"/>
      <c r="E253" s="58" t="s">
        <v>35</v>
      </c>
      <c r="F253" s="59" t="s">
        <v>83</v>
      </c>
      <c r="G253" s="55"/>
      <c r="H253" s="55"/>
      <c r="I253" s="55"/>
      <c r="J253" s="55"/>
      <c r="K253" s="55"/>
      <c r="L253" s="55"/>
      <c r="M253" s="55"/>
      <c r="N253" s="5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ht="18.75" customHeight="1">
      <c r="A254" s="11">
        <v>1149.0</v>
      </c>
      <c r="B254" s="12">
        <v>45535.0</v>
      </c>
      <c r="C254" s="13"/>
      <c r="D254" s="14" t="s">
        <v>56</v>
      </c>
      <c r="E254" s="15" t="s">
        <v>15</v>
      </c>
      <c r="F254" s="16" t="s">
        <v>16</v>
      </c>
      <c r="G254" s="17">
        <v>200.0</v>
      </c>
      <c r="H254" s="18">
        <v>106.0</v>
      </c>
      <c r="I254" s="19"/>
      <c r="J254" s="19"/>
      <c r="K254" s="20">
        <f t="shared" ref="K254:K260" si="26">G254*H254</f>
        <v>21200</v>
      </c>
      <c r="L254" s="21" t="s">
        <v>17</v>
      </c>
      <c r="M254" s="20">
        <v>200.0</v>
      </c>
      <c r="N254" s="9" t="s">
        <v>13</v>
      </c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ht="18.75" customHeight="1">
      <c r="A255" s="24"/>
      <c r="B255" s="25"/>
      <c r="C255" s="25"/>
      <c r="D255" s="25"/>
      <c r="E255" s="25"/>
      <c r="F255" s="26" t="s">
        <v>18</v>
      </c>
      <c r="G255" s="27">
        <v>150.0</v>
      </c>
      <c r="H255" s="28">
        <v>58.0</v>
      </c>
      <c r="I255" s="29"/>
      <c r="J255" s="29"/>
      <c r="K255" s="30">
        <f t="shared" si="26"/>
        <v>8700</v>
      </c>
      <c r="L255" s="31" t="s">
        <v>19</v>
      </c>
      <c r="M255" s="30">
        <v>200.0</v>
      </c>
      <c r="N255" s="22">
        <f>K262-M262</f>
        <v>9635</v>
      </c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ht="18.75" customHeight="1">
      <c r="A256" s="24"/>
      <c r="B256" s="25"/>
      <c r="C256" s="25"/>
      <c r="D256" s="25"/>
      <c r="E256" s="25"/>
      <c r="F256" s="33" t="s">
        <v>20</v>
      </c>
      <c r="G256" s="34">
        <v>150.0</v>
      </c>
      <c r="H256" s="28">
        <v>1.0</v>
      </c>
      <c r="I256" s="32"/>
      <c r="J256" s="32"/>
      <c r="K256" s="35">
        <f t="shared" si="26"/>
        <v>150</v>
      </c>
      <c r="L256" s="36" t="s">
        <v>21</v>
      </c>
      <c r="M256" s="37">
        <v>400.0</v>
      </c>
      <c r="N256" s="32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ht="18.75" customHeight="1">
      <c r="A257" s="24"/>
      <c r="B257" s="25"/>
      <c r="C257" s="25"/>
      <c r="D257" s="25"/>
      <c r="E257" s="25"/>
      <c r="F257" s="39" t="s">
        <v>23</v>
      </c>
      <c r="G257" s="27">
        <v>100.0</v>
      </c>
      <c r="H257" s="40"/>
      <c r="I257" s="29"/>
      <c r="J257" s="29"/>
      <c r="K257" s="30">
        <f t="shared" si="26"/>
        <v>0</v>
      </c>
      <c r="L257" s="41" t="s">
        <v>24</v>
      </c>
      <c r="M257" s="42">
        <v>3500.0</v>
      </c>
      <c r="N257" s="38" t="s">
        <v>22</v>
      </c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ht="18.75" customHeight="1">
      <c r="A258" s="24"/>
      <c r="B258" s="25"/>
      <c r="C258" s="25"/>
      <c r="D258" s="25"/>
      <c r="E258" s="25"/>
      <c r="F258" s="43" t="s">
        <v>25</v>
      </c>
      <c r="G258" s="44">
        <v>200.0</v>
      </c>
      <c r="H258" s="28">
        <v>1.0</v>
      </c>
      <c r="I258" s="32"/>
      <c r="J258" s="32"/>
      <c r="K258" s="35">
        <f t="shared" si="26"/>
        <v>200</v>
      </c>
      <c r="L258" s="36" t="s">
        <v>26</v>
      </c>
      <c r="M258" s="45">
        <v>12300.0</v>
      </c>
      <c r="N258" s="25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ht="18.75" customHeight="1">
      <c r="A259" s="24"/>
      <c r="B259" s="25"/>
      <c r="C259" s="25"/>
      <c r="D259" s="25"/>
      <c r="E259" s="25"/>
      <c r="F259" s="46" t="s">
        <v>27</v>
      </c>
      <c r="G259" s="34">
        <v>150.0</v>
      </c>
      <c r="H259" s="28"/>
      <c r="I259" s="32"/>
      <c r="J259" s="47"/>
      <c r="K259" s="35">
        <f t="shared" si="26"/>
        <v>0</v>
      </c>
      <c r="L259" s="68"/>
      <c r="M259" s="69"/>
      <c r="N259" s="25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ht="18.75" customHeight="1">
      <c r="A260" s="24"/>
      <c r="B260" s="25"/>
      <c r="C260" s="25"/>
      <c r="D260" s="25"/>
      <c r="E260" s="25"/>
      <c r="F260" s="75" t="s">
        <v>29</v>
      </c>
      <c r="G260" s="34"/>
      <c r="H260" s="28"/>
      <c r="I260" s="32"/>
      <c r="J260" s="47"/>
      <c r="K260" s="35">
        <f t="shared" si="26"/>
        <v>0</v>
      </c>
      <c r="L260" s="48" t="s">
        <v>28</v>
      </c>
      <c r="M260" s="49">
        <f>1475+1340</f>
        <v>2815</v>
      </c>
      <c r="N260" s="25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ht="18.75" customHeight="1">
      <c r="A261" s="24"/>
      <c r="B261" s="25"/>
      <c r="C261" s="25"/>
      <c r="D261" s="25"/>
      <c r="E261" s="53"/>
      <c r="F261" s="64" t="s">
        <v>31</v>
      </c>
      <c r="G261" s="65"/>
      <c r="H261" s="32"/>
      <c r="I261" s="29"/>
      <c r="J261" s="29"/>
      <c r="K261" s="35">
        <f>G261*F263:N263</f>
        <v>0</v>
      </c>
      <c r="L261" s="51" t="s">
        <v>30</v>
      </c>
      <c r="M261" s="52">
        <v>1200.0</v>
      </c>
      <c r="N261" s="5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ht="18.75" customHeight="1">
      <c r="A262" s="24"/>
      <c r="B262" s="25"/>
      <c r="C262" s="25"/>
      <c r="D262" s="25"/>
      <c r="E262" s="22">
        <f>N272</f>
        <v>210731</v>
      </c>
      <c r="F262" s="54" t="s">
        <v>33</v>
      </c>
      <c r="G262" s="55"/>
      <c r="H262" s="53"/>
      <c r="I262" s="29"/>
      <c r="J262" s="29"/>
      <c r="K262" s="56">
        <f>SUM(K254:K261)</f>
        <v>30250</v>
      </c>
      <c r="L262" s="41" t="s">
        <v>34</v>
      </c>
      <c r="M262" s="56">
        <f>SUM(M254:M261)</f>
        <v>20615</v>
      </c>
      <c r="N262" s="22">
        <f>E262+K262-M262</f>
        <v>220366</v>
      </c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ht="66.0" customHeight="1">
      <c r="A263" s="57"/>
      <c r="B263" s="53"/>
      <c r="C263" s="53"/>
      <c r="D263" s="53"/>
      <c r="E263" s="58" t="s">
        <v>35</v>
      </c>
      <c r="F263" s="59" t="s">
        <v>84</v>
      </c>
      <c r="G263" s="55"/>
      <c r="H263" s="55"/>
      <c r="I263" s="55"/>
      <c r="J263" s="55"/>
      <c r="K263" s="55"/>
      <c r="L263" s="55"/>
      <c r="M263" s="55"/>
      <c r="N263" s="5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ht="18.75" customHeight="1">
      <c r="A264" s="11">
        <v>1148.0</v>
      </c>
      <c r="B264" s="12">
        <v>45528.0</v>
      </c>
      <c r="C264" s="13"/>
      <c r="D264" s="14" t="s">
        <v>85</v>
      </c>
      <c r="E264" s="15" t="s">
        <v>15</v>
      </c>
      <c r="F264" s="16" t="s">
        <v>16</v>
      </c>
      <c r="G264" s="17">
        <v>200.0</v>
      </c>
      <c r="H264" s="18">
        <v>94.0</v>
      </c>
      <c r="I264" s="19"/>
      <c r="J264" s="19"/>
      <c r="K264" s="20">
        <f t="shared" ref="K264:K270" si="27">G264*H264</f>
        <v>18800</v>
      </c>
      <c r="L264" s="21" t="s">
        <v>17</v>
      </c>
      <c r="M264" s="20">
        <v>200.0</v>
      </c>
      <c r="N264" s="9" t="s">
        <v>13</v>
      </c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ht="18.75" customHeight="1">
      <c r="A265" s="24"/>
      <c r="B265" s="25"/>
      <c r="C265" s="25"/>
      <c r="D265" s="25"/>
      <c r="E265" s="25"/>
      <c r="F265" s="26" t="s">
        <v>18</v>
      </c>
      <c r="G265" s="27">
        <v>150.0</v>
      </c>
      <c r="H265" s="28">
        <v>54.0</v>
      </c>
      <c r="I265" s="29"/>
      <c r="J265" s="29"/>
      <c r="K265" s="30">
        <f t="shared" si="27"/>
        <v>8100</v>
      </c>
      <c r="L265" s="31" t="s">
        <v>19</v>
      </c>
      <c r="M265" s="30">
        <v>200.0</v>
      </c>
      <c r="N265" s="22">
        <f>K272-M272</f>
        <v>10770</v>
      </c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ht="18.75" customHeight="1">
      <c r="A266" s="24"/>
      <c r="B266" s="25"/>
      <c r="C266" s="25"/>
      <c r="D266" s="25"/>
      <c r="E266" s="25"/>
      <c r="F266" s="33" t="s">
        <v>20</v>
      </c>
      <c r="G266" s="34">
        <v>150.0</v>
      </c>
      <c r="H266" s="28">
        <v>1.0</v>
      </c>
      <c r="I266" s="32"/>
      <c r="J266" s="32"/>
      <c r="K266" s="35">
        <f t="shared" si="27"/>
        <v>150</v>
      </c>
      <c r="L266" s="36" t="s">
        <v>21</v>
      </c>
      <c r="M266" s="37">
        <v>350.0</v>
      </c>
      <c r="N266" s="32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ht="18.75" customHeight="1">
      <c r="A267" s="24"/>
      <c r="B267" s="25"/>
      <c r="C267" s="25"/>
      <c r="D267" s="25"/>
      <c r="E267" s="25"/>
      <c r="F267" s="39" t="s">
        <v>23</v>
      </c>
      <c r="G267" s="27">
        <v>100.0</v>
      </c>
      <c r="H267" s="40"/>
      <c r="I267" s="29"/>
      <c r="J267" s="29"/>
      <c r="K267" s="30">
        <f t="shared" si="27"/>
        <v>0</v>
      </c>
      <c r="L267" s="41" t="s">
        <v>24</v>
      </c>
      <c r="M267" s="42">
        <v>3500.0</v>
      </c>
      <c r="N267" s="38" t="s">
        <v>22</v>
      </c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ht="18.75" customHeight="1">
      <c r="A268" s="24"/>
      <c r="B268" s="25"/>
      <c r="C268" s="25"/>
      <c r="D268" s="25"/>
      <c r="E268" s="25"/>
      <c r="F268" s="43" t="s">
        <v>25</v>
      </c>
      <c r="G268" s="44">
        <v>200.0</v>
      </c>
      <c r="H268" s="28"/>
      <c r="I268" s="32"/>
      <c r="J268" s="32"/>
      <c r="K268" s="35">
        <f t="shared" si="27"/>
        <v>0</v>
      </c>
      <c r="L268" s="36" t="s">
        <v>26</v>
      </c>
      <c r="M268" s="45">
        <v>9140.0</v>
      </c>
      <c r="N268" s="25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ht="18.75" customHeight="1">
      <c r="A269" s="24"/>
      <c r="B269" s="25"/>
      <c r="C269" s="25"/>
      <c r="D269" s="25"/>
      <c r="E269" s="25"/>
      <c r="F269" s="46" t="s">
        <v>27</v>
      </c>
      <c r="G269" s="34">
        <v>150.0</v>
      </c>
      <c r="H269" s="28">
        <v>1.0</v>
      </c>
      <c r="I269" s="32"/>
      <c r="J269" s="47"/>
      <c r="K269" s="35">
        <f t="shared" si="27"/>
        <v>150</v>
      </c>
      <c r="L269" s="68"/>
      <c r="M269" s="69"/>
      <c r="N269" s="25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ht="18.75" customHeight="1">
      <c r="A270" s="24"/>
      <c r="B270" s="25"/>
      <c r="C270" s="25"/>
      <c r="D270" s="25"/>
      <c r="E270" s="25"/>
      <c r="F270" s="75" t="s">
        <v>29</v>
      </c>
      <c r="G270" s="34"/>
      <c r="H270" s="28"/>
      <c r="I270" s="32"/>
      <c r="J270" s="47"/>
      <c r="K270" s="35">
        <f t="shared" si="27"/>
        <v>0</v>
      </c>
      <c r="L270" s="48" t="s">
        <v>28</v>
      </c>
      <c r="M270" s="49">
        <f>1520+1340+180</f>
        <v>3040</v>
      </c>
      <c r="N270" s="25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ht="18.75" customHeight="1">
      <c r="A271" s="24"/>
      <c r="B271" s="25"/>
      <c r="C271" s="25"/>
      <c r="D271" s="25"/>
      <c r="E271" s="53"/>
      <c r="F271" s="64" t="s">
        <v>31</v>
      </c>
      <c r="G271" s="65"/>
      <c r="H271" s="32"/>
      <c r="I271" s="29"/>
      <c r="J271" s="29"/>
      <c r="K271" s="35">
        <f>G271*F273:N273</f>
        <v>0</v>
      </c>
      <c r="L271" s="51" t="s">
        <v>30</v>
      </c>
      <c r="M271" s="52"/>
      <c r="N271" s="5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ht="18.75" customHeight="1">
      <c r="A272" s="24"/>
      <c r="B272" s="25"/>
      <c r="C272" s="25"/>
      <c r="D272" s="25"/>
      <c r="E272" s="22">
        <f>N282</f>
        <v>199961</v>
      </c>
      <c r="F272" s="54" t="s">
        <v>33</v>
      </c>
      <c r="G272" s="55"/>
      <c r="H272" s="53"/>
      <c r="I272" s="29"/>
      <c r="J272" s="29"/>
      <c r="K272" s="56">
        <f>SUM(K264:K271)</f>
        <v>27200</v>
      </c>
      <c r="L272" s="41" t="s">
        <v>34</v>
      </c>
      <c r="M272" s="56">
        <f>SUM(M264:M271)</f>
        <v>16430</v>
      </c>
      <c r="N272" s="22">
        <f>E272+K272-M272</f>
        <v>210731</v>
      </c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ht="42.75" customHeight="1">
      <c r="A273" s="57"/>
      <c r="B273" s="53"/>
      <c r="C273" s="53"/>
      <c r="D273" s="53"/>
      <c r="E273" s="58" t="s">
        <v>35</v>
      </c>
      <c r="F273" s="59" t="s">
        <v>86</v>
      </c>
      <c r="G273" s="55"/>
      <c r="H273" s="55"/>
      <c r="I273" s="55"/>
      <c r="J273" s="55"/>
      <c r="K273" s="55"/>
      <c r="L273" s="55"/>
      <c r="M273" s="55"/>
      <c r="N273" s="5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ht="18.75" customHeight="1">
      <c r="A274" s="11">
        <v>1147.0</v>
      </c>
      <c r="B274" s="12">
        <v>45521.0</v>
      </c>
      <c r="C274" s="13"/>
      <c r="D274" s="14" t="s">
        <v>41</v>
      </c>
      <c r="E274" s="15" t="s">
        <v>15</v>
      </c>
      <c r="F274" s="16" t="s">
        <v>16</v>
      </c>
      <c r="G274" s="17">
        <v>200.0</v>
      </c>
      <c r="H274" s="18">
        <v>111.0</v>
      </c>
      <c r="I274" s="19"/>
      <c r="J274" s="19"/>
      <c r="K274" s="20">
        <f t="shared" ref="K274:K280" si="28">G274*H274</f>
        <v>22200</v>
      </c>
      <c r="L274" s="21" t="s">
        <v>17</v>
      </c>
      <c r="M274" s="20">
        <v>200.0</v>
      </c>
      <c r="N274" s="9" t="s">
        <v>13</v>
      </c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ht="18.75" customHeight="1">
      <c r="A275" s="24"/>
      <c r="B275" s="25"/>
      <c r="C275" s="25"/>
      <c r="D275" s="25"/>
      <c r="E275" s="25"/>
      <c r="F275" s="26" t="s">
        <v>18</v>
      </c>
      <c r="G275" s="27">
        <v>150.0</v>
      </c>
      <c r="H275" s="28">
        <v>60.0</v>
      </c>
      <c r="I275" s="29"/>
      <c r="J275" s="29"/>
      <c r="K275" s="30">
        <f t="shared" si="28"/>
        <v>9000</v>
      </c>
      <c r="L275" s="31" t="s">
        <v>19</v>
      </c>
      <c r="M275" s="30">
        <v>200.0</v>
      </c>
      <c r="N275" s="22">
        <f>K282-M282</f>
        <v>-829</v>
      </c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ht="18.75" customHeight="1">
      <c r="A276" s="24"/>
      <c r="B276" s="25"/>
      <c r="C276" s="25"/>
      <c r="D276" s="25"/>
      <c r="E276" s="25"/>
      <c r="F276" s="33" t="s">
        <v>20</v>
      </c>
      <c r="G276" s="34">
        <v>150.0</v>
      </c>
      <c r="H276" s="28"/>
      <c r="I276" s="32"/>
      <c r="J276" s="32"/>
      <c r="K276" s="35">
        <f t="shared" si="28"/>
        <v>0</v>
      </c>
      <c r="L276" s="36" t="s">
        <v>21</v>
      </c>
      <c r="M276" s="37">
        <v>300.0</v>
      </c>
      <c r="N276" s="32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ht="18.75" customHeight="1">
      <c r="A277" s="24"/>
      <c r="B277" s="25"/>
      <c r="C277" s="25"/>
      <c r="D277" s="25"/>
      <c r="E277" s="25"/>
      <c r="F277" s="39" t="s">
        <v>23</v>
      </c>
      <c r="G277" s="27">
        <v>100.0</v>
      </c>
      <c r="H277" s="40"/>
      <c r="I277" s="29"/>
      <c r="J277" s="29"/>
      <c r="K277" s="30">
        <f t="shared" si="28"/>
        <v>0</v>
      </c>
      <c r="L277" s="41" t="s">
        <v>24</v>
      </c>
      <c r="M277" s="42">
        <v>4000.0</v>
      </c>
      <c r="N277" s="38" t="s">
        <v>22</v>
      </c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ht="18.75" customHeight="1">
      <c r="A278" s="24"/>
      <c r="B278" s="25"/>
      <c r="C278" s="25"/>
      <c r="D278" s="25"/>
      <c r="E278" s="25"/>
      <c r="F278" s="43" t="s">
        <v>25</v>
      </c>
      <c r="G278" s="44">
        <v>200.0</v>
      </c>
      <c r="H278" s="28">
        <v>1.0</v>
      </c>
      <c r="I278" s="32"/>
      <c r="J278" s="32"/>
      <c r="K278" s="35">
        <f t="shared" si="28"/>
        <v>200</v>
      </c>
      <c r="L278" s="36" t="s">
        <v>26</v>
      </c>
      <c r="M278" s="45">
        <v>11290.0</v>
      </c>
      <c r="N278" s="25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ht="18.75" customHeight="1">
      <c r="A279" s="24"/>
      <c r="B279" s="25"/>
      <c r="C279" s="25"/>
      <c r="D279" s="25"/>
      <c r="E279" s="25"/>
      <c r="F279" s="46" t="s">
        <v>27</v>
      </c>
      <c r="G279" s="34">
        <v>150.0</v>
      </c>
      <c r="H279" s="28">
        <v>1.0</v>
      </c>
      <c r="I279" s="32"/>
      <c r="J279" s="47"/>
      <c r="K279" s="35">
        <f t="shared" si="28"/>
        <v>150</v>
      </c>
      <c r="L279" s="68"/>
      <c r="M279" s="69"/>
      <c r="N279" s="25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ht="18.75" customHeight="1">
      <c r="A280" s="24"/>
      <c r="B280" s="25"/>
      <c r="C280" s="25"/>
      <c r="D280" s="25"/>
      <c r="E280" s="25"/>
      <c r="F280" s="76" t="s">
        <v>87</v>
      </c>
      <c r="G280" s="34">
        <v>100.0</v>
      </c>
      <c r="H280" s="28">
        <v>1.0</v>
      </c>
      <c r="I280" s="32"/>
      <c r="J280" s="47"/>
      <c r="K280" s="35">
        <f t="shared" si="28"/>
        <v>100</v>
      </c>
      <c r="L280" s="48" t="s">
        <v>28</v>
      </c>
      <c r="M280" s="49">
        <f>690+1340+45</f>
        <v>2075</v>
      </c>
      <c r="N280" s="25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ht="18.75" customHeight="1">
      <c r="A281" s="24"/>
      <c r="B281" s="25"/>
      <c r="C281" s="25"/>
      <c r="D281" s="25"/>
      <c r="E281" s="53"/>
      <c r="F281" s="64" t="s">
        <v>31</v>
      </c>
      <c r="G281" s="65"/>
      <c r="H281" s="32"/>
      <c r="I281" s="29"/>
      <c r="J281" s="29"/>
      <c r="K281" s="35">
        <f>G281*F283:N283</f>
        <v>0</v>
      </c>
      <c r="L281" s="51" t="s">
        <v>30</v>
      </c>
      <c r="M281" s="52">
        <v>14414.0</v>
      </c>
      <c r="N281" s="5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ht="18.75" customHeight="1">
      <c r="A282" s="24"/>
      <c r="B282" s="25"/>
      <c r="C282" s="25"/>
      <c r="D282" s="25"/>
      <c r="E282" s="22">
        <f>N291</f>
        <v>200790</v>
      </c>
      <c r="F282" s="54" t="s">
        <v>33</v>
      </c>
      <c r="G282" s="55"/>
      <c r="H282" s="53"/>
      <c r="I282" s="29"/>
      <c r="J282" s="29"/>
      <c r="K282" s="56">
        <f>SUM(K274:K281)</f>
        <v>31650</v>
      </c>
      <c r="L282" s="41" t="s">
        <v>34</v>
      </c>
      <c r="M282" s="56">
        <f>SUM(M274:M281)</f>
        <v>32479</v>
      </c>
      <c r="N282" s="22">
        <f>E282+K282-M282</f>
        <v>199961</v>
      </c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ht="63.0" customHeight="1">
      <c r="A283" s="57"/>
      <c r="B283" s="53"/>
      <c r="C283" s="53"/>
      <c r="D283" s="53"/>
      <c r="E283" s="58" t="s">
        <v>35</v>
      </c>
      <c r="F283" s="59" t="s">
        <v>88</v>
      </c>
      <c r="G283" s="55"/>
      <c r="H283" s="55"/>
      <c r="I283" s="55"/>
      <c r="J283" s="55"/>
      <c r="K283" s="55"/>
      <c r="L283" s="55"/>
      <c r="M283" s="55"/>
      <c r="N283" s="5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ht="18.75" customHeight="1">
      <c r="A284" s="11">
        <v>1146.0</v>
      </c>
      <c r="B284" s="12">
        <v>45514.0</v>
      </c>
      <c r="C284" s="13"/>
      <c r="D284" s="14" t="s">
        <v>89</v>
      </c>
      <c r="E284" s="15" t="s">
        <v>15</v>
      </c>
      <c r="F284" s="16" t="s">
        <v>16</v>
      </c>
      <c r="G284" s="17">
        <v>200.0</v>
      </c>
      <c r="H284" s="18">
        <v>77.0</v>
      </c>
      <c r="I284" s="19"/>
      <c r="J284" s="19"/>
      <c r="K284" s="20">
        <f t="shared" ref="K284:K289" si="29">G284*H284</f>
        <v>15400</v>
      </c>
      <c r="L284" s="21" t="s">
        <v>17</v>
      </c>
      <c r="M284" s="20">
        <v>200.0</v>
      </c>
      <c r="N284" s="9" t="s">
        <v>13</v>
      </c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ht="18.75" customHeight="1">
      <c r="A285" s="24"/>
      <c r="B285" s="25"/>
      <c r="C285" s="25"/>
      <c r="D285" s="25"/>
      <c r="E285" s="25"/>
      <c r="F285" s="26" t="s">
        <v>18</v>
      </c>
      <c r="G285" s="27">
        <v>150.0</v>
      </c>
      <c r="H285" s="28">
        <v>44.0</v>
      </c>
      <c r="I285" s="29"/>
      <c r="J285" s="29"/>
      <c r="K285" s="30">
        <f t="shared" si="29"/>
        <v>6600</v>
      </c>
      <c r="L285" s="31" t="s">
        <v>19</v>
      </c>
      <c r="M285" s="30">
        <v>200.0</v>
      </c>
      <c r="N285" s="22">
        <f>K291-M291</f>
        <v>7545</v>
      </c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ht="18.75" customHeight="1">
      <c r="A286" s="24"/>
      <c r="B286" s="25"/>
      <c r="C286" s="25"/>
      <c r="D286" s="25"/>
      <c r="E286" s="25"/>
      <c r="F286" s="33" t="s">
        <v>20</v>
      </c>
      <c r="G286" s="34">
        <v>150.0</v>
      </c>
      <c r="H286" s="28"/>
      <c r="I286" s="32"/>
      <c r="J286" s="32"/>
      <c r="K286" s="35">
        <f t="shared" si="29"/>
        <v>0</v>
      </c>
      <c r="L286" s="36" t="s">
        <v>21</v>
      </c>
      <c r="M286" s="37">
        <v>350.0</v>
      </c>
      <c r="N286" s="32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ht="18.75" customHeight="1">
      <c r="A287" s="24"/>
      <c r="B287" s="25"/>
      <c r="C287" s="25"/>
      <c r="D287" s="25"/>
      <c r="E287" s="25"/>
      <c r="F287" s="39" t="s">
        <v>23</v>
      </c>
      <c r="G287" s="27">
        <v>100.0</v>
      </c>
      <c r="H287" s="40"/>
      <c r="I287" s="29"/>
      <c r="J287" s="29"/>
      <c r="K287" s="30">
        <f t="shared" si="29"/>
        <v>0</v>
      </c>
      <c r="L287" s="41" t="s">
        <v>24</v>
      </c>
      <c r="M287" s="42">
        <v>4000.0</v>
      </c>
      <c r="N287" s="38" t="s">
        <v>22</v>
      </c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ht="18.75" customHeight="1">
      <c r="A288" s="24"/>
      <c r="B288" s="25"/>
      <c r="C288" s="25"/>
      <c r="D288" s="25"/>
      <c r="E288" s="25"/>
      <c r="F288" s="43" t="s">
        <v>25</v>
      </c>
      <c r="G288" s="44">
        <v>200.0</v>
      </c>
      <c r="H288" s="28"/>
      <c r="I288" s="32"/>
      <c r="J288" s="32"/>
      <c r="K288" s="35">
        <f t="shared" si="29"/>
        <v>0</v>
      </c>
      <c r="L288" s="36" t="s">
        <v>26</v>
      </c>
      <c r="M288" s="45">
        <v>7080.0</v>
      </c>
      <c r="N288" s="25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ht="18.75" customHeight="1">
      <c r="A289" s="24"/>
      <c r="B289" s="25"/>
      <c r="C289" s="25"/>
      <c r="D289" s="25"/>
      <c r="E289" s="25"/>
      <c r="F289" s="75" t="s">
        <v>29</v>
      </c>
      <c r="G289" s="34"/>
      <c r="H289" s="28"/>
      <c r="I289" s="32"/>
      <c r="J289" s="47"/>
      <c r="K289" s="35">
        <f t="shared" si="29"/>
        <v>0</v>
      </c>
      <c r="L289" s="48" t="s">
        <v>28</v>
      </c>
      <c r="M289" s="49">
        <f>1160+1340+80+45</f>
        <v>2625</v>
      </c>
      <c r="N289" s="25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ht="18.75" customHeight="1">
      <c r="A290" s="24"/>
      <c r="B290" s="25"/>
      <c r="C290" s="25"/>
      <c r="D290" s="25"/>
      <c r="E290" s="53"/>
      <c r="F290" s="64" t="s">
        <v>31</v>
      </c>
      <c r="G290" s="65"/>
      <c r="H290" s="32"/>
      <c r="I290" s="29"/>
      <c r="J290" s="29"/>
      <c r="K290" s="35">
        <f>G290*F292:N292</f>
        <v>0</v>
      </c>
      <c r="L290" s="51" t="s">
        <v>30</v>
      </c>
      <c r="M290" s="52"/>
      <c r="N290" s="5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ht="18.75" customHeight="1">
      <c r="A291" s="24"/>
      <c r="B291" s="25"/>
      <c r="C291" s="25"/>
      <c r="D291" s="25"/>
      <c r="E291" s="22">
        <f>N300</f>
        <v>193245</v>
      </c>
      <c r="F291" s="54" t="s">
        <v>33</v>
      </c>
      <c r="G291" s="55"/>
      <c r="H291" s="53"/>
      <c r="I291" s="29"/>
      <c r="J291" s="29"/>
      <c r="K291" s="56">
        <f>SUM(K284:K290)</f>
        <v>22000</v>
      </c>
      <c r="L291" s="41" t="s">
        <v>34</v>
      </c>
      <c r="M291" s="56">
        <f>SUM(M284:M290)</f>
        <v>14455</v>
      </c>
      <c r="N291" s="22">
        <f>E291+K291-M291</f>
        <v>200790</v>
      </c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ht="62.25" customHeight="1">
      <c r="A292" s="57"/>
      <c r="B292" s="53"/>
      <c r="C292" s="53"/>
      <c r="D292" s="53"/>
      <c r="E292" s="58" t="s">
        <v>35</v>
      </c>
      <c r="F292" s="59" t="s">
        <v>90</v>
      </c>
      <c r="G292" s="55"/>
      <c r="H292" s="55"/>
      <c r="I292" s="55"/>
      <c r="J292" s="55"/>
      <c r="K292" s="55"/>
      <c r="L292" s="55"/>
      <c r="M292" s="55"/>
      <c r="N292" s="5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ht="18.75" customHeight="1">
      <c r="A293" s="11">
        <v>1145.0</v>
      </c>
      <c r="B293" s="12">
        <v>45507.0</v>
      </c>
      <c r="C293" s="13"/>
      <c r="D293" s="14" t="s">
        <v>37</v>
      </c>
      <c r="E293" s="15" t="s">
        <v>15</v>
      </c>
      <c r="F293" s="16" t="s">
        <v>16</v>
      </c>
      <c r="G293" s="17">
        <v>200.0</v>
      </c>
      <c r="H293" s="18">
        <v>75.0</v>
      </c>
      <c r="I293" s="19"/>
      <c r="J293" s="19"/>
      <c r="K293" s="20">
        <f t="shared" ref="K293:K299" si="30">G293*H293</f>
        <v>15000</v>
      </c>
      <c r="L293" s="21" t="s">
        <v>17</v>
      </c>
      <c r="M293" s="20">
        <v>200.0</v>
      </c>
      <c r="N293" s="9" t="s">
        <v>13</v>
      </c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ht="18.75" customHeight="1">
      <c r="A294" s="24"/>
      <c r="B294" s="25"/>
      <c r="C294" s="25"/>
      <c r="D294" s="25"/>
      <c r="E294" s="25"/>
      <c r="F294" s="26" t="s">
        <v>18</v>
      </c>
      <c r="G294" s="27">
        <v>150.0</v>
      </c>
      <c r="H294" s="28">
        <v>41.0</v>
      </c>
      <c r="I294" s="29"/>
      <c r="J294" s="29"/>
      <c r="K294" s="30">
        <f t="shared" si="30"/>
        <v>6150</v>
      </c>
      <c r="L294" s="31" t="s">
        <v>19</v>
      </c>
      <c r="M294" s="30">
        <v>200.0</v>
      </c>
      <c r="N294" s="22">
        <f>K300-M300</f>
        <v>3470</v>
      </c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ht="18.75" customHeight="1">
      <c r="A295" s="24"/>
      <c r="B295" s="25"/>
      <c r="C295" s="25"/>
      <c r="D295" s="25"/>
      <c r="E295" s="25"/>
      <c r="F295" s="33" t="s">
        <v>20</v>
      </c>
      <c r="G295" s="34">
        <v>150.0</v>
      </c>
      <c r="H295" s="28"/>
      <c r="I295" s="32"/>
      <c r="J295" s="32"/>
      <c r="K295" s="35">
        <f t="shared" si="30"/>
        <v>0</v>
      </c>
      <c r="L295" s="36" t="s">
        <v>21</v>
      </c>
      <c r="M295" s="37">
        <v>350.0</v>
      </c>
      <c r="N295" s="32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ht="18.75" customHeight="1">
      <c r="A296" s="24"/>
      <c r="B296" s="25"/>
      <c r="C296" s="25"/>
      <c r="D296" s="25"/>
      <c r="E296" s="25"/>
      <c r="F296" s="39" t="s">
        <v>23</v>
      </c>
      <c r="G296" s="27">
        <v>100.0</v>
      </c>
      <c r="H296" s="40">
        <v>1.0</v>
      </c>
      <c r="I296" s="29"/>
      <c r="J296" s="29"/>
      <c r="K296" s="30">
        <f t="shared" si="30"/>
        <v>100</v>
      </c>
      <c r="L296" s="41" t="s">
        <v>24</v>
      </c>
      <c r="M296" s="42">
        <v>3500.0</v>
      </c>
      <c r="N296" s="38" t="s">
        <v>22</v>
      </c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ht="18.75" customHeight="1">
      <c r="A297" s="24"/>
      <c r="B297" s="25"/>
      <c r="C297" s="25"/>
      <c r="D297" s="25"/>
      <c r="E297" s="25"/>
      <c r="F297" s="43" t="s">
        <v>25</v>
      </c>
      <c r="G297" s="44">
        <v>200.0</v>
      </c>
      <c r="H297" s="28"/>
      <c r="I297" s="32"/>
      <c r="J297" s="32"/>
      <c r="K297" s="35">
        <f t="shared" si="30"/>
        <v>0</v>
      </c>
      <c r="L297" s="36" t="s">
        <v>26</v>
      </c>
      <c r="M297" s="45">
        <v>8450.0</v>
      </c>
      <c r="N297" s="25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ht="18.75" customHeight="1">
      <c r="A298" s="24"/>
      <c r="B298" s="25"/>
      <c r="C298" s="25"/>
      <c r="D298" s="25"/>
      <c r="E298" s="25"/>
      <c r="F298" s="75" t="s">
        <v>29</v>
      </c>
      <c r="G298" s="34"/>
      <c r="H298" s="28"/>
      <c r="I298" s="32"/>
      <c r="J298" s="47"/>
      <c r="K298" s="35">
        <f t="shared" si="30"/>
        <v>0</v>
      </c>
      <c r="L298" s="48" t="s">
        <v>28</v>
      </c>
      <c r="M298" s="49">
        <f>1160+1340</f>
        <v>2500</v>
      </c>
      <c r="N298" s="25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ht="18.75" customHeight="1">
      <c r="A299" s="24"/>
      <c r="B299" s="25"/>
      <c r="C299" s="25"/>
      <c r="D299" s="25"/>
      <c r="E299" s="53"/>
      <c r="F299" s="64" t="s">
        <v>31</v>
      </c>
      <c r="G299" s="65"/>
      <c r="H299" s="32"/>
      <c r="I299" s="29"/>
      <c r="J299" s="29"/>
      <c r="K299" s="35">
        <f t="shared" si="30"/>
        <v>0</v>
      </c>
      <c r="L299" s="51" t="s">
        <v>30</v>
      </c>
      <c r="M299" s="52">
        <f>1980+600</f>
        <v>2580</v>
      </c>
      <c r="N299" s="5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ht="18.75" customHeight="1">
      <c r="A300" s="24"/>
      <c r="B300" s="25"/>
      <c r="C300" s="25"/>
      <c r="D300" s="25"/>
      <c r="E300" s="22">
        <f>N309</f>
        <v>189775</v>
      </c>
      <c r="F300" s="54" t="s">
        <v>33</v>
      </c>
      <c r="G300" s="55"/>
      <c r="H300" s="53"/>
      <c r="I300" s="29"/>
      <c r="J300" s="29"/>
      <c r="K300" s="56">
        <f>SUM(K293:K299)</f>
        <v>21250</v>
      </c>
      <c r="L300" s="41" t="s">
        <v>34</v>
      </c>
      <c r="M300" s="56">
        <f>SUM(M293:M299)</f>
        <v>17780</v>
      </c>
      <c r="N300" s="22">
        <f>E300+K300-M300</f>
        <v>193245</v>
      </c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ht="74.25" customHeight="1">
      <c r="A301" s="57"/>
      <c r="B301" s="53"/>
      <c r="C301" s="53"/>
      <c r="D301" s="53"/>
      <c r="E301" s="58" t="s">
        <v>35</v>
      </c>
      <c r="F301" s="59" t="s">
        <v>91</v>
      </c>
      <c r="G301" s="55"/>
      <c r="H301" s="55"/>
      <c r="I301" s="55"/>
      <c r="J301" s="55"/>
      <c r="K301" s="55"/>
      <c r="L301" s="55"/>
      <c r="M301" s="55"/>
      <c r="N301" s="5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ht="18.75" customHeight="1">
      <c r="A302" s="11">
        <v>1144.0</v>
      </c>
      <c r="B302" s="12">
        <v>45500.0</v>
      </c>
      <c r="C302" s="13"/>
      <c r="D302" s="14" t="s">
        <v>48</v>
      </c>
      <c r="E302" s="15" t="s">
        <v>15</v>
      </c>
      <c r="F302" s="16" t="s">
        <v>16</v>
      </c>
      <c r="G302" s="17">
        <v>200.0</v>
      </c>
      <c r="H302" s="18">
        <v>102.0</v>
      </c>
      <c r="I302" s="19"/>
      <c r="J302" s="19"/>
      <c r="K302" s="20">
        <f t="shared" ref="K302:K308" si="31">G302*H302</f>
        <v>20400</v>
      </c>
      <c r="L302" s="21" t="s">
        <v>17</v>
      </c>
      <c r="M302" s="20">
        <v>200.0</v>
      </c>
      <c r="N302" s="9" t="s">
        <v>13</v>
      </c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ht="18.75" customHeight="1">
      <c r="A303" s="24"/>
      <c r="B303" s="25"/>
      <c r="C303" s="25"/>
      <c r="D303" s="25"/>
      <c r="E303" s="25"/>
      <c r="F303" s="26" t="s">
        <v>18</v>
      </c>
      <c r="G303" s="27">
        <v>150.0</v>
      </c>
      <c r="H303" s="28">
        <v>56.0</v>
      </c>
      <c r="I303" s="29"/>
      <c r="J303" s="29"/>
      <c r="K303" s="30">
        <f t="shared" si="31"/>
        <v>8400</v>
      </c>
      <c r="L303" s="31" t="s">
        <v>19</v>
      </c>
      <c r="M303" s="30">
        <v>200.0</v>
      </c>
      <c r="N303" s="22">
        <f>K309-M309</f>
        <v>7815</v>
      </c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ht="18.75" customHeight="1">
      <c r="A304" s="24"/>
      <c r="B304" s="25"/>
      <c r="C304" s="25"/>
      <c r="D304" s="25"/>
      <c r="E304" s="25"/>
      <c r="F304" s="33" t="s">
        <v>20</v>
      </c>
      <c r="G304" s="34">
        <v>150.0</v>
      </c>
      <c r="H304" s="28"/>
      <c r="I304" s="32"/>
      <c r="J304" s="32"/>
      <c r="K304" s="35">
        <f t="shared" si="31"/>
        <v>0</v>
      </c>
      <c r="L304" s="36" t="s">
        <v>21</v>
      </c>
      <c r="M304" s="37">
        <v>400.0</v>
      </c>
      <c r="N304" s="32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ht="18.75" customHeight="1">
      <c r="A305" s="24"/>
      <c r="B305" s="25"/>
      <c r="C305" s="25"/>
      <c r="D305" s="25"/>
      <c r="E305" s="25"/>
      <c r="F305" s="39" t="s">
        <v>23</v>
      </c>
      <c r="G305" s="27">
        <v>100.0</v>
      </c>
      <c r="H305" s="40">
        <v>1.0</v>
      </c>
      <c r="I305" s="29"/>
      <c r="J305" s="29"/>
      <c r="K305" s="30">
        <f t="shared" si="31"/>
        <v>100</v>
      </c>
      <c r="L305" s="41" t="s">
        <v>24</v>
      </c>
      <c r="M305" s="42">
        <v>3500.0</v>
      </c>
      <c r="N305" s="38" t="s">
        <v>22</v>
      </c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ht="18.75" customHeight="1">
      <c r="A306" s="24"/>
      <c r="B306" s="25"/>
      <c r="C306" s="25"/>
      <c r="D306" s="25"/>
      <c r="E306" s="25"/>
      <c r="F306" s="43" t="s">
        <v>25</v>
      </c>
      <c r="G306" s="44">
        <v>200.0</v>
      </c>
      <c r="H306" s="28"/>
      <c r="I306" s="32"/>
      <c r="J306" s="32"/>
      <c r="K306" s="35">
        <f t="shared" si="31"/>
        <v>0</v>
      </c>
      <c r="L306" s="36" t="s">
        <v>26</v>
      </c>
      <c r="M306" s="45">
        <v>9270.0</v>
      </c>
      <c r="N306" s="25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ht="18.75" customHeight="1">
      <c r="A307" s="24"/>
      <c r="B307" s="25"/>
      <c r="C307" s="25"/>
      <c r="D307" s="25"/>
      <c r="E307" s="25"/>
      <c r="F307" s="77" t="s">
        <v>92</v>
      </c>
      <c r="G307" s="34">
        <v>100.0</v>
      </c>
      <c r="H307" s="28">
        <v>2.0</v>
      </c>
      <c r="I307" s="32"/>
      <c r="J307" s="47"/>
      <c r="K307" s="35">
        <f t="shared" si="31"/>
        <v>200</v>
      </c>
      <c r="L307" s="48" t="s">
        <v>28</v>
      </c>
      <c r="M307" s="49">
        <f>1050+1340+225</f>
        <v>2615</v>
      </c>
      <c r="N307" s="25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ht="18.75" customHeight="1">
      <c r="A308" s="24"/>
      <c r="B308" s="25"/>
      <c r="C308" s="25"/>
      <c r="D308" s="25"/>
      <c r="E308" s="53"/>
      <c r="F308" s="64" t="s">
        <v>31</v>
      </c>
      <c r="G308" s="65"/>
      <c r="H308" s="32"/>
      <c r="I308" s="29"/>
      <c r="J308" s="29"/>
      <c r="K308" s="35">
        <f t="shared" si="31"/>
        <v>0</v>
      </c>
      <c r="L308" s="51" t="s">
        <v>30</v>
      </c>
      <c r="M308" s="52">
        <f>5100</f>
        <v>5100</v>
      </c>
      <c r="N308" s="5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ht="18.75" customHeight="1">
      <c r="A309" s="24"/>
      <c r="B309" s="25"/>
      <c r="C309" s="25"/>
      <c r="D309" s="25"/>
      <c r="E309" s="22">
        <f>N318</f>
        <v>181960</v>
      </c>
      <c r="F309" s="54" t="s">
        <v>33</v>
      </c>
      <c r="G309" s="55"/>
      <c r="H309" s="53"/>
      <c r="I309" s="29"/>
      <c r="J309" s="29"/>
      <c r="K309" s="56">
        <f>SUM(K302:K308)</f>
        <v>29100</v>
      </c>
      <c r="L309" s="41" t="s">
        <v>34</v>
      </c>
      <c r="M309" s="56">
        <f>SUM(M302:M308)</f>
        <v>21285</v>
      </c>
      <c r="N309" s="22">
        <f>E309+K309-M309</f>
        <v>189775</v>
      </c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ht="78.75" customHeight="1">
      <c r="A310" s="57"/>
      <c r="B310" s="53"/>
      <c r="C310" s="53"/>
      <c r="D310" s="53"/>
      <c r="E310" s="58" t="s">
        <v>35</v>
      </c>
      <c r="F310" s="59" t="s">
        <v>93</v>
      </c>
      <c r="G310" s="55"/>
      <c r="H310" s="55"/>
      <c r="I310" s="55"/>
      <c r="J310" s="55"/>
      <c r="K310" s="55"/>
      <c r="L310" s="55"/>
      <c r="M310" s="55"/>
      <c r="N310" s="5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ht="18.75" customHeight="1">
      <c r="A311" s="11">
        <v>1143.0</v>
      </c>
      <c r="B311" s="12">
        <v>45493.0</v>
      </c>
      <c r="C311" s="13"/>
      <c r="D311" s="14" t="s">
        <v>85</v>
      </c>
      <c r="E311" s="15" t="s">
        <v>15</v>
      </c>
      <c r="F311" s="16" t="s">
        <v>16</v>
      </c>
      <c r="G311" s="17">
        <v>200.0</v>
      </c>
      <c r="H311" s="18">
        <v>86.0</v>
      </c>
      <c r="I311" s="19"/>
      <c r="J311" s="19"/>
      <c r="K311" s="20">
        <f t="shared" ref="K311:K317" si="32">G311*H311</f>
        <v>17200</v>
      </c>
      <c r="L311" s="21" t="s">
        <v>17</v>
      </c>
      <c r="M311" s="20">
        <v>200.0</v>
      </c>
      <c r="N311" s="9" t="s">
        <v>13</v>
      </c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ht="18.75" customHeight="1">
      <c r="A312" s="24"/>
      <c r="B312" s="25"/>
      <c r="C312" s="25"/>
      <c r="D312" s="25"/>
      <c r="E312" s="25"/>
      <c r="F312" s="26" t="s">
        <v>18</v>
      </c>
      <c r="G312" s="27">
        <v>150.0</v>
      </c>
      <c r="H312" s="28">
        <v>47.0</v>
      </c>
      <c r="I312" s="29"/>
      <c r="J312" s="29"/>
      <c r="K312" s="30">
        <f t="shared" si="32"/>
        <v>7050</v>
      </c>
      <c r="L312" s="31" t="s">
        <v>19</v>
      </c>
      <c r="M312" s="30">
        <v>200.0</v>
      </c>
      <c r="N312" s="22">
        <f>K318-M318</f>
        <v>-1980</v>
      </c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ht="18.75" customHeight="1">
      <c r="A313" s="24"/>
      <c r="B313" s="25"/>
      <c r="C313" s="25"/>
      <c r="D313" s="25"/>
      <c r="E313" s="25"/>
      <c r="F313" s="33" t="s">
        <v>20</v>
      </c>
      <c r="G313" s="34">
        <v>150.0</v>
      </c>
      <c r="H313" s="28"/>
      <c r="I313" s="32"/>
      <c r="J313" s="32"/>
      <c r="K313" s="35">
        <f t="shared" si="32"/>
        <v>0</v>
      </c>
      <c r="L313" s="36" t="s">
        <v>21</v>
      </c>
      <c r="M313" s="37">
        <v>400.0</v>
      </c>
      <c r="N313" s="32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ht="18.75" customHeight="1">
      <c r="A314" s="24"/>
      <c r="B314" s="25"/>
      <c r="C314" s="25"/>
      <c r="D314" s="25"/>
      <c r="E314" s="25"/>
      <c r="F314" s="39" t="s">
        <v>23</v>
      </c>
      <c r="G314" s="27">
        <v>100.0</v>
      </c>
      <c r="H314" s="40">
        <v>1.0</v>
      </c>
      <c r="I314" s="29"/>
      <c r="J314" s="29"/>
      <c r="K314" s="30">
        <f t="shared" si="32"/>
        <v>100</v>
      </c>
      <c r="L314" s="41" t="s">
        <v>24</v>
      </c>
      <c r="M314" s="42">
        <v>3500.0</v>
      </c>
      <c r="N314" s="38" t="s">
        <v>22</v>
      </c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ht="18.75" customHeight="1">
      <c r="A315" s="24"/>
      <c r="B315" s="25"/>
      <c r="C315" s="25"/>
      <c r="D315" s="25"/>
      <c r="E315" s="25"/>
      <c r="F315" s="43" t="s">
        <v>25</v>
      </c>
      <c r="G315" s="44">
        <v>200.0</v>
      </c>
      <c r="H315" s="28">
        <v>1.0</v>
      </c>
      <c r="I315" s="32"/>
      <c r="J315" s="32"/>
      <c r="K315" s="35">
        <f t="shared" si="32"/>
        <v>200</v>
      </c>
      <c r="L315" s="36" t="s">
        <v>26</v>
      </c>
      <c r="M315" s="45">
        <v>8710.0</v>
      </c>
      <c r="N315" s="25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ht="18.75" customHeight="1">
      <c r="A316" s="24"/>
      <c r="B316" s="25"/>
      <c r="C316" s="25"/>
      <c r="D316" s="25"/>
      <c r="E316" s="25"/>
      <c r="F316" s="77" t="s">
        <v>92</v>
      </c>
      <c r="G316" s="34">
        <v>100.0</v>
      </c>
      <c r="H316" s="28">
        <v>1.0</v>
      </c>
      <c r="I316" s="32"/>
      <c r="J316" s="47"/>
      <c r="K316" s="35">
        <f t="shared" si="32"/>
        <v>100</v>
      </c>
      <c r="L316" s="48" t="s">
        <v>28</v>
      </c>
      <c r="M316" s="49">
        <f>500+1420</f>
        <v>1920</v>
      </c>
      <c r="N316" s="25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ht="18.75" customHeight="1">
      <c r="A317" s="24"/>
      <c r="B317" s="25"/>
      <c r="C317" s="25"/>
      <c r="D317" s="25"/>
      <c r="E317" s="53"/>
      <c r="F317" s="64" t="s">
        <v>31</v>
      </c>
      <c r="G317" s="65"/>
      <c r="H317" s="32"/>
      <c r="I317" s="29"/>
      <c r="J317" s="29"/>
      <c r="K317" s="35">
        <f t="shared" si="32"/>
        <v>0</v>
      </c>
      <c r="L317" s="51" t="s">
        <v>30</v>
      </c>
      <c r="M317" s="52">
        <f>11700</f>
        <v>11700</v>
      </c>
      <c r="N317" s="5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ht="18.75" customHeight="1">
      <c r="A318" s="24"/>
      <c r="B318" s="25"/>
      <c r="C318" s="25"/>
      <c r="D318" s="25"/>
      <c r="E318" s="22">
        <f>N331</f>
        <v>183940</v>
      </c>
      <c r="F318" s="54" t="s">
        <v>33</v>
      </c>
      <c r="G318" s="55"/>
      <c r="H318" s="53"/>
      <c r="I318" s="29"/>
      <c r="J318" s="29"/>
      <c r="K318" s="56">
        <f>SUM(K311:K317)</f>
        <v>24650</v>
      </c>
      <c r="L318" s="41" t="s">
        <v>34</v>
      </c>
      <c r="M318" s="56">
        <f>SUM(M311:M317)</f>
        <v>26630</v>
      </c>
      <c r="N318" s="22">
        <f>E318+K318-M318</f>
        <v>181960</v>
      </c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ht="61.5" customHeight="1">
      <c r="A319" s="57"/>
      <c r="B319" s="53"/>
      <c r="C319" s="53"/>
      <c r="D319" s="53"/>
      <c r="E319" s="58" t="s">
        <v>35</v>
      </c>
      <c r="F319" s="59" t="s">
        <v>94</v>
      </c>
      <c r="G319" s="55"/>
      <c r="H319" s="55"/>
      <c r="I319" s="55"/>
      <c r="J319" s="55"/>
      <c r="K319" s="55"/>
      <c r="L319" s="55"/>
      <c r="M319" s="55"/>
      <c r="N319" s="5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ht="18.75" customHeight="1">
      <c r="A320" s="11">
        <v>1142.0</v>
      </c>
      <c r="B320" s="12">
        <v>45486.0</v>
      </c>
      <c r="C320" s="13"/>
      <c r="D320" s="14" t="s">
        <v>95</v>
      </c>
      <c r="E320" s="15" t="s">
        <v>15</v>
      </c>
      <c r="F320" s="16" t="s">
        <v>16</v>
      </c>
      <c r="G320" s="17">
        <v>1550.0</v>
      </c>
      <c r="H320" s="18">
        <v>36.0</v>
      </c>
      <c r="I320" s="19"/>
      <c r="J320" s="19"/>
      <c r="K320" s="20">
        <f t="shared" ref="K320:K330" si="33">G320*H320</f>
        <v>55800</v>
      </c>
      <c r="L320" s="21" t="s">
        <v>17</v>
      </c>
      <c r="M320" s="20">
        <v>200.0</v>
      </c>
      <c r="N320" s="9" t="s">
        <v>13</v>
      </c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ht="18.75" customHeight="1">
      <c r="A321" s="24"/>
      <c r="B321" s="25"/>
      <c r="C321" s="25"/>
      <c r="D321" s="25"/>
      <c r="E321" s="25"/>
      <c r="F321" s="16" t="s">
        <v>16</v>
      </c>
      <c r="G321" s="27">
        <v>1300.0</v>
      </c>
      <c r="H321" s="28">
        <v>41.0</v>
      </c>
      <c r="I321" s="29"/>
      <c r="J321" s="29"/>
      <c r="K321" s="20">
        <f t="shared" si="33"/>
        <v>53300</v>
      </c>
      <c r="L321" s="31" t="s">
        <v>19</v>
      </c>
      <c r="M321" s="30">
        <v>200.0</v>
      </c>
      <c r="N321" s="22">
        <f>K331-M331</f>
        <v>1637</v>
      </c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ht="18.75" customHeight="1">
      <c r="A322" s="24"/>
      <c r="B322" s="25"/>
      <c r="C322" s="25"/>
      <c r="D322" s="25"/>
      <c r="E322" s="25"/>
      <c r="F322" s="26" t="s">
        <v>18</v>
      </c>
      <c r="G322" s="27">
        <v>1500.0</v>
      </c>
      <c r="H322" s="28">
        <v>18.0</v>
      </c>
      <c r="I322" s="29"/>
      <c r="J322" s="29"/>
      <c r="K322" s="30">
        <f t="shared" si="33"/>
        <v>27000</v>
      </c>
      <c r="L322" s="31"/>
      <c r="M322" s="30"/>
      <c r="N322" s="22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ht="18.75" customHeight="1">
      <c r="A323" s="24"/>
      <c r="B323" s="25"/>
      <c r="C323" s="25"/>
      <c r="D323" s="25"/>
      <c r="E323" s="25"/>
      <c r="F323" s="26" t="s">
        <v>18</v>
      </c>
      <c r="G323" s="34">
        <v>1250.0</v>
      </c>
      <c r="H323" s="28">
        <v>22.0</v>
      </c>
      <c r="I323" s="32"/>
      <c r="J323" s="32"/>
      <c r="K323" s="30">
        <f t="shared" si="33"/>
        <v>27500</v>
      </c>
      <c r="L323" s="36"/>
      <c r="M323" s="37"/>
      <c r="N323" s="32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ht="18.75" customHeight="1">
      <c r="A324" s="24"/>
      <c r="B324" s="25"/>
      <c r="C324" s="25"/>
      <c r="D324" s="25"/>
      <c r="E324" s="25"/>
      <c r="F324" s="33" t="s">
        <v>20</v>
      </c>
      <c r="G324" s="34">
        <v>1250.0</v>
      </c>
      <c r="H324" s="28">
        <v>1.0</v>
      </c>
      <c r="I324" s="32"/>
      <c r="J324" s="32"/>
      <c r="K324" s="35">
        <f t="shared" si="33"/>
        <v>1250</v>
      </c>
      <c r="L324" s="36" t="s">
        <v>21</v>
      </c>
      <c r="M324" s="37">
        <v>350.0</v>
      </c>
      <c r="N324" s="32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ht="18.75" customHeight="1">
      <c r="A325" s="24"/>
      <c r="B325" s="25"/>
      <c r="C325" s="25"/>
      <c r="D325" s="25"/>
      <c r="E325" s="25"/>
      <c r="F325" s="39" t="s">
        <v>23</v>
      </c>
      <c r="G325" s="27">
        <v>100.0</v>
      </c>
      <c r="H325" s="40"/>
      <c r="I325" s="29"/>
      <c r="J325" s="29"/>
      <c r="K325" s="30">
        <f t="shared" si="33"/>
        <v>0</v>
      </c>
      <c r="L325" s="78" t="s">
        <v>96</v>
      </c>
      <c r="M325" s="42">
        <f>6000+6000</f>
        <v>12000</v>
      </c>
      <c r="N325" s="38" t="s">
        <v>22</v>
      </c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ht="18.75" customHeight="1">
      <c r="A326" s="24"/>
      <c r="B326" s="25"/>
      <c r="C326" s="25"/>
      <c r="D326" s="25"/>
      <c r="E326" s="25"/>
      <c r="F326" s="43" t="s">
        <v>25</v>
      </c>
      <c r="G326" s="44">
        <v>200.0</v>
      </c>
      <c r="H326" s="28"/>
      <c r="I326" s="32"/>
      <c r="J326" s="32"/>
      <c r="K326" s="35">
        <f t="shared" si="33"/>
        <v>0</v>
      </c>
      <c r="L326" s="36" t="s">
        <v>26</v>
      </c>
      <c r="M326" s="45">
        <v>19140.0</v>
      </c>
      <c r="N326" s="25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ht="18.75" customHeight="1">
      <c r="A327" s="24"/>
      <c r="B327" s="25"/>
      <c r="C327" s="25"/>
      <c r="D327" s="25"/>
      <c r="E327" s="25"/>
      <c r="F327" s="75" t="s">
        <v>97</v>
      </c>
      <c r="G327" s="34">
        <v>12000.0</v>
      </c>
      <c r="H327" s="28">
        <v>1.0</v>
      </c>
      <c r="I327" s="32"/>
      <c r="J327" s="47"/>
      <c r="K327" s="30">
        <f t="shared" si="33"/>
        <v>12000</v>
      </c>
      <c r="L327" s="79"/>
      <c r="M327" s="69"/>
      <c r="N327" s="25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ht="18.75" customHeight="1">
      <c r="A328" s="24"/>
      <c r="B328" s="25"/>
      <c r="C328" s="25"/>
      <c r="D328" s="25"/>
      <c r="E328" s="25"/>
      <c r="F328" s="80" t="s">
        <v>98</v>
      </c>
      <c r="G328" s="34">
        <v>15000.0</v>
      </c>
      <c r="H328" s="28">
        <v>1.0</v>
      </c>
      <c r="I328" s="32"/>
      <c r="J328" s="47"/>
      <c r="K328" s="30">
        <f t="shared" si="33"/>
        <v>15000</v>
      </c>
      <c r="L328" s="48" t="s">
        <v>28</v>
      </c>
      <c r="M328" s="49">
        <f>4987+400</f>
        <v>5387</v>
      </c>
      <c r="N328" s="25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ht="18.75" customHeight="1">
      <c r="A329" s="24"/>
      <c r="B329" s="25"/>
      <c r="C329" s="25"/>
      <c r="D329" s="25"/>
      <c r="E329" s="25"/>
      <c r="F329" s="31" t="s">
        <v>29</v>
      </c>
      <c r="G329" s="34"/>
      <c r="H329" s="28"/>
      <c r="I329" s="32"/>
      <c r="J329" s="47"/>
      <c r="K329" s="35">
        <f t="shared" si="33"/>
        <v>0</v>
      </c>
      <c r="L329" s="51" t="s">
        <v>30</v>
      </c>
      <c r="M329" s="52">
        <f>23000+6286+84300+5000</f>
        <v>118586</v>
      </c>
      <c r="N329" s="25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ht="18.75" customHeight="1">
      <c r="A330" s="24"/>
      <c r="B330" s="25"/>
      <c r="C330" s="25"/>
      <c r="D330" s="25"/>
      <c r="E330" s="53"/>
      <c r="F330" s="64" t="s">
        <v>31</v>
      </c>
      <c r="G330" s="34"/>
      <c r="H330" s="28"/>
      <c r="I330" s="29"/>
      <c r="J330" s="29"/>
      <c r="K330" s="35">
        <f t="shared" si="33"/>
        <v>0</v>
      </c>
      <c r="L330" s="51" t="s">
        <v>32</v>
      </c>
      <c r="M330" s="52">
        <f>34350</f>
        <v>34350</v>
      </c>
      <c r="N330" s="5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ht="18.75" customHeight="1">
      <c r="A331" s="24"/>
      <c r="B331" s="25"/>
      <c r="C331" s="25"/>
      <c r="D331" s="25"/>
      <c r="E331" s="22">
        <f>N340</f>
        <v>182303</v>
      </c>
      <c r="F331" s="54" t="s">
        <v>33</v>
      </c>
      <c r="G331" s="55"/>
      <c r="H331" s="53"/>
      <c r="I331" s="29"/>
      <c r="J331" s="29"/>
      <c r="K331" s="56">
        <f>SUM(K320:K330)</f>
        <v>191850</v>
      </c>
      <c r="L331" s="41" t="s">
        <v>34</v>
      </c>
      <c r="M331" s="56">
        <f>SUM(M320:M330)</f>
        <v>190213</v>
      </c>
      <c r="N331" s="22">
        <f>E331+K331-M331</f>
        <v>183940</v>
      </c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ht="103.5" customHeight="1">
      <c r="A332" s="57"/>
      <c r="B332" s="53"/>
      <c r="C332" s="53"/>
      <c r="D332" s="53"/>
      <c r="E332" s="58" t="s">
        <v>35</v>
      </c>
      <c r="F332" s="59" t="s">
        <v>99</v>
      </c>
      <c r="G332" s="55"/>
      <c r="H332" s="55"/>
      <c r="I332" s="55"/>
      <c r="J332" s="55"/>
      <c r="K332" s="55"/>
      <c r="L332" s="55"/>
      <c r="M332" s="55"/>
      <c r="N332" s="5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ht="18.75" customHeight="1">
      <c r="A333" s="11">
        <v>1141.0</v>
      </c>
      <c r="B333" s="12">
        <v>45479.0</v>
      </c>
      <c r="C333" s="13"/>
      <c r="D333" s="14" t="s">
        <v>58</v>
      </c>
      <c r="E333" s="15" t="s">
        <v>15</v>
      </c>
      <c r="F333" s="16" t="s">
        <v>16</v>
      </c>
      <c r="G333" s="17">
        <v>200.0</v>
      </c>
      <c r="H333" s="18">
        <v>103.0</v>
      </c>
      <c r="I333" s="19"/>
      <c r="J333" s="19"/>
      <c r="K333" s="20">
        <f t="shared" ref="K333:K339" si="34">G333*H333</f>
        <v>20600</v>
      </c>
      <c r="L333" s="21" t="s">
        <v>17</v>
      </c>
      <c r="M333" s="20">
        <v>200.0</v>
      </c>
      <c r="N333" s="9" t="s">
        <v>13</v>
      </c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ht="18.75" customHeight="1">
      <c r="A334" s="24"/>
      <c r="B334" s="25"/>
      <c r="C334" s="25"/>
      <c r="D334" s="25"/>
      <c r="E334" s="25"/>
      <c r="F334" s="26" t="s">
        <v>18</v>
      </c>
      <c r="G334" s="27">
        <v>150.0</v>
      </c>
      <c r="H334" s="28">
        <v>47.0</v>
      </c>
      <c r="I334" s="29"/>
      <c r="J334" s="29"/>
      <c r="K334" s="30">
        <f t="shared" si="34"/>
        <v>7050</v>
      </c>
      <c r="L334" s="31" t="s">
        <v>19</v>
      </c>
      <c r="M334" s="30">
        <v>200.0</v>
      </c>
      <c r="N334" s="22">
        <f>K340-M340</f>
        <v>7970</v>
      </c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ht="18.75" customHeight="1">
      <c r="A335" s="24"/>
      <c r="B335" s="25"/>
      <c r="C335" s="25"/>
      <c r="D335" s="25"/>
      <c r="E335" s="25"/>
      <c r="F335" s="33" t="s">
        <v>20</v>
      </c>
      <c r="G335" s="34">
        <v>150.0</v>
      </c>
      <c r="H335" s="28"/>
      <c r="I335" s="32"/>
      <c r="J335" s="32"/>
      <c r="K335" s="35">
        <f t="shared" si="34"/>
        <v>0</v>
      </c>
      <c r="L335" s="36" t="s">
        <v>21</v>
      </c>
      <c r="M335" s="37">
        <v>350.0</v>
      </c>
      <c r="N335" s="32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ht="18.75" customHeight="1">
      <c r="A336" s="24"/>
      <c r="B336" s="25"/>
      <c r="C336" s="25"/>
      <c r="D336" s="25"/>
      <c r="E336" s="25"/>
      <c r="F336" s="39" t="s">
        <v>23</v>
      </c>
      <c r="G336" s="27">
        <v>100.0</v>
      </c>
      <c r="H336" s="40"/>
      <c r="I336" s="29"/>
      <c r="J336" s="29"/>
      <c r="K336" s="30">
        <f t="shared" si="34"/>
        <v>0</v>
      </c>
      <c r="L336" s="41" t="s">
        <v>24</v>
      </c>
      <c r="M336" s="42">
        <v>3500.0</v>
      </c>
      <c r="N336" s="38" t="s">
        <v>22</v>
      </c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ht="18.75" customHeight="1">
      <c r="A337" s="24"/>
      <c r="B337" s="25"/>
      <c r="C337" s="25"/>
      <c r="D337" s="25"/>
      <c r="E337" s="25"/>
      <c r="F337" s="43" t="s">
        <v>25</v>
      </c>
      <c r="G337" s="44">
        <v>200.0</v>
      </c>
      <c r="H337" s="28"/>
      <c r="I337" s="32"/>
      <c r="J337" s="32"/>
      <c r="K337" s="35">
        <f t="shared" si="34"/>
        <v>0</v>
      </c>
      <c r="L337" s="36" t="s">
        <v>26</v>
      </c>
      <c r="M337" s="45">
        <v>8830.0</v>
      </c>
      <c r="N337" s="25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ht="18.75" customHeight="1">
      <c r="A338" s="24"/>
      <c r="B338" s="25"/>
      <c r="C338" s="25"/>
      <c r="D338" s="25"/>
      <c r="E338" s="25"/>
      <c r="F338" s="31" t="s">
        <v>29</v>
      </c>
      <c r="G338" s="34"/>
      <c r="H338" s="29"/>
      <c r="I338" s="32"/>
      <c r="J338" s="47"/>
      <c r="K338" s="35">
        <f t="shared" si="34"/>
        <v>0</v>
      </c>
      <c r="L338" s="48" t="s">
        <v>28</v>
      </c>
      <c r="M338" s="49">
        <f>2080+1340</f>
        <v>3420</v>
      </c>
      <c r="N338" s="25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ht="18.75" customHeight="1">
      <c r="A339" s="24"/>
      <c r="B339" s="25"/>
      <c r="C339" s="25"/>
      <c r="D339" s="25"/>
      <c r="E339" s="53"/>
      <c r="F339" s="64" t="s">
        <v>31</v>
      </c>
      <c r="G339" s="65"/>
      <c r="H339" s="32"/>
      <c r="I339" s="29"/>
      <c r="J339" s="29"/>
      <c r="K339" s="35">
        <f t="shared" si="34"/>
        <v>0</v>
      </c>
      <c r="L339" s="51" t="s">
        <v>30</v>
      </c>
      <c r="M339" s="52">
        <f>1200+1980</f>
        <v>3180</v>
      </c>
      <c r="N339" s="5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ht="18.75" customHeight="1">
      <c r="A340" s="24"/>
      <c r="B340" s="25"/>
      <c r="C340" s="25"/>
      <c r="D340" s="25"/>
      <c r="E340" s="22">
        <f>N349</f>
        <v>174333</v>
      </c>
      <c r="F340" s="54" t="s">
        <v>33</v>
      </c>
      <c r="G340" s="55"/>
      <c r="H340" s="53"/>
      <c r="I340" s="29"/>
      <c r="J340" s="29"/>
      <c r="K340" s="56">
        <f>SUM(K333:K339)</f>
        <v>27650</v>
      </c>
      <c r="L340" s="41" t="s">
        <v>34</v>
      </c>
      <c r="M340" s="56">
        <f>SUM(M333:M339)</f>
        <v>19680</v>
      </c>
      <c r="N340" s="22">
        <f>E340+K340-M340</f>
        <v>182303</v>
      </c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ht="69.0" customHeight="1">
      <c r="A341" s="57"/>
      <c r="B341" s="53"/>
      <c r="C341" s="53"/>
      <c r="D341" s="53"/>
      <c r="E341" s="58" t="s">
        <v>35</v>
      </c>
      <c r="F341" s="59" t="s">
        <v>100</v>
      </c>
      <c r="G341" s="55"/>
      <c r="H341" s="55"/>
      <c r="I341" s="55"/>
      <c r="J341" s="55"/>
      <c r="K341" s="55"/>
      <c r="L341" s="55"/>
      <c r="M341" s="55"/>
      <c r="N341" s="5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ht="18.75" customHeight="1">
      <c r="A342" s="11">
        <v>1140.0</v>
      </c>
      <c r="B342" s="12">
        <v>45472.0</v>
      </c>
      <c r="C342" s="13"/>
      <c r="D342" s="14" t="s">
        <v>101</v>
      </c>
      <c r="E342" s="15" t="s">
        <v>15</v>
      </c>
      <c r="F342" s="16" t="s">
        <v>16</v>
      </c>
      <c r="G342" s="17">
        <v>200.0</v>
      </c>
      <c r="H342" s="18">
        <v>63.0</v>
      </c>
      <c r="I342" s="19"/>
      <c r="J342" s="19"/>
      <c r="K342" s="20">
        <f t="shared" ref="K342:K348" si="35">G342*H342</f>
        <v>12600</v>
      </c>
      <c r="L342" s="21" t="s">
        <v>17</v>
      </c>
      <c r="M342" s="20">
        <v>200.0</v>
      </c>
      <c r="N342" s="9" t="s">
        <v>13</v>
      </c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ht="18.75" customHeight="1">
      <c r="A343" s="24"/>
      <c r="B343" s="25"/>
      <c r="C343" s="25"/>
      <c r="D343" s="25"/>
      <c r="E343" s="25"/>
      <c r="F343" s="26" t="s">
        <v>18</v>
      </c>
      <c r="G343" s="27">
        <v>150.0</v>
      </c>
      <c r="H343" s="28">
        <v>30.0</v>
      </c>
      <c r="I343" s="29"/>
      <c r="J343" s="29"/>
      <c r="K343" s="30">
        <f t="shared" si="35"/>
        <v>4500</v>
      </c>
      <c r="L343" s="31" t="s">
        <v>19</v>
      </c>
      <c r="M343" s="30">
        <v>200.0</v>
      </c>
      <c r="N343" s="22">
        <f>K349-M349</f>
        <v>2645</v>
      </c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ht="18.75" customHeight="1">
      <c r="A344" s="24"/>
      <c r="B344" s="25"/>
      <c r="C344" s="25"/>
      <c r="D344" s="25"/>
      <c r="E344" s="25"/>
      <c r="F344" s="33" t="s">
        <v>20</v>
      </c>
      <c r="G344" s="34">
        <v>150.0</v>
      </c>
      <c r="H344" s="28"/>
      <c r="I344" s="32"/>
      <c r="J344" s="32"/>
      <c r="K344" s="35">
        <f t="shared" si="35"/>
        <v>0</v>
      </c>
      <c r="L344" s="36" t="s">
        <v>21</v>
      </c>
      <c r="M344" s="37">
        <v>350.0</v>
      </c>
      <c r="N344" s="32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ht="18.75" customHeight="1">
      <c r="A345" s="24"/>
      <c r="B345" s="25"/>
      <c r="C345" s="25"/>
      <c r="D345" s="25"/>
      <c r="E345" s="25"/>
      <c r="F345" s="39" t="s">
        <v>23</v>
      </c>
      <c r="G345" s="27">
        <v>100.0</v>
      </c>
      <c r="H345" s="40"/>
      <c r="I345" s="29"/>
      <c r="J345" s="29"/>
      <c r="K345" s="30">
        <f t="shared" si="35"/>
        <v>0</v>
      </c>
      <c r="L345" s="41" t="s">
        <v>24</v>
      </c>
      <c r="M345" s="42">
        <v>3500.0</v>
      </c>
      <c r="N345" s="38" t="s">
        <v>22</v>
      </c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ht="18.75" customHeight="1">
      <c r="A346" s="24"/>
      <c r="B346" s="25"/>
      <c r="C346" s="25"/>
      <c r="D346" s="25"/>
      <c r="E346" s="25"/>
      <c r="F346" s="43" t="s">
        <v>25</v>
      </c>
      <c r="G346" s="44">
        <v>200.0</v>
      </c>
      <c r="H346" s="28"/>
      <c r="I346" s="32"/>
      <c r="J346" s="32"/>
      <c r="K346" s="35">
        <f t="shared" si="35"/>
        <v>0</v>
      </c>
      <c r="L346" s="36" t="s">
        <v>26</v>
      </c>
      <c r="M346" s="45">
        <v>7740.0</v>
      </c>
      <c r="N346" s="25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ht="18.75" customHeight="1">
      <c r="A347" s="24"/>
      <c r="B347" s="25"/>
      <c r="C347" s="25"/>
      <c r="D347" s="25"/>
      <c r="E347" s="25"/>
      <c r="F347" s="31" t="s">
        <v>29</v>
      </c>
      <c r="G347" s="34"/>
      <c r="H347" s="29"/>
      <c r="I347" s="32"/>
      <c r="J347" s="47"/>
      <c r="K347" s="35">
        <f t="shared" si="35"/>
        <v>0</v>
      </c>
      <c r="L347" s="48" t="s">
        <v>28</v>
      </c>
      <c r="M347" s="49">
        <f>1125+1340</f>
        <v>2465</v>
      </c>
      <c r="N347" s="25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ht="18.75" customHeight="1">
      <c r="A348" s="24"/>
      <c r="B348" s="25"/>
      <c r="C348" s="25"/>
      <c r="D348" s="25"/>
      <c r="E348" s="53"/>
      <c r="F348" s="64" t="s">
        <v>31</v>
      </c>
      <c r="G348" s="65"/>
      <c r="H348" s="32"/>
      <c r="I348" s="29"/>
      <c r="J348" s="29"/>
      <c r="K348" s="35">
        <f t="shared" si="35"/>
        <v>0</v>
      </c>
      <c r="L348" s="51" t="s">
        <v>30</v>
      </c>
      <c r="M348" s="52"/>
      <c r="N348" s="5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ht="18.75" customHeight="1">
      <c r="A349" s="24"/>
      <c r="B349" s="25"/>
      <c r="C349" s="25"/>
      <c r="D349" s="25"/>
      <c r="E349" s="22">
        <f>N359</f>
        <v>171688</v>
      </c>
      <c r="F349" s="54" t="s">
        <v>33</v>
      </c>
      <c r="G349" s="55"/>
      <c r="H349" s="53"/>
      <c r="I349" s="29"/>
      <c r="J349" s="29"/>
      <c r="K349" s="56">
        <f>SUM(K342:K348)</f>
        <v>17100</v>
      </c>
      <c r="L349" s="41" t="s">
        <v>34</v>
      </c>
      <c r="M349" s="56">
        <f>SUM(M342:M348)</f>
        <v>14455</v>
      </c>
      <c r="N349" s="22">
        <f>E349+K349-M349</f>
        <v>174333</v>
      </c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ht="43.5" customHeight="1">
      <c r="A350" s="57"/>
      <c r="B350" s="53"/>
      <c r="C350" s="53"/>
      <c r="D350" s="53"/>
      <c r="E350" s="58" t="s">
        <v>35</v>
      </c>
      <c r="F350" s="59" t="s">
        <v>102</v>
      </c>
      <c r="G350" s="55"/>
      <c r="H350" s="55"/>
      <c r="I350" s="55"/>
      <c r="J350" s="55"/>
      <c r="K350" s="55"/>
      <c r="L350" s="55"/>
      <c r="M350" s="55"/>
      <c r="N350" s="5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ht="18.75" customHeight="1">
      <c r="A351" s="11">
        <v>1139.0</v>
      </c>
      <c r="B351" s="12">
        <v>45465.0</v>
      </c>
      <c r="C351" s="13"/>
      <c r="D351" s="14" t="s">
        <v>85</v>
      </c>
      <c r="E351" s="15" t="s">
        <v>15</v>
      </c>
      <c r="F351" s="16" t="s">
        <v>16</v>
      </c>
      <c r="G351" s="17">
        <v>200.0</v>
      </c>
      <c r="H351" s="18">
        <v>103.0</v>
      </c>
      <c r="I351" s="19"/>
      <c r="J351" s="19"/>
      <c r="K351" s="20">
        <f t="shared" ref="K351:K357" si="36">G351*H351</f>
        <v>20600</v>
      </c>
      <c r="L351" s="21" t="s">
        <v>17</v>
      </c>
      <c r="M351" s="20">
        <v>200.0</v>
      </c>
      <c r="N351" s="9" t="s">
        <v>13</v>
      </c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ht="18.75" customHeight="1">
      <c r="A352" s="24"/>
      <c r="B352" s="25"/>
      <c r="C352" s="25"/>
      <c r="D352" s="25"/>
      <c r="E352" s="25"/>
      <c r="F352" s="26" t="s">
        <v>18</v>
      </c>
      <c r="G352" s="27">
        <v>150.0</v>
      </c>
      <c r="H352" s="28">
        <v>56.0</v>
      </c>
      <c r="I352" s="29"/>
      <c r="J352" s="29"/>
      <c r="K352" s="30">
        <f t="shared" si="36"/>
        <v>8400</v>
      </c>
      <c r="L352" s="31" t="s">
        <v>19</v>
      </c>
      <c r="M352" s="30">
        <v>200.0</v>
      </c>
      <c r="N352" s="22">
        <f>K359-M359</f>
        <v>9466</v>
      </c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ht="18.75" customHeight="1">
      <c r="A353" s="24"/>
      <c r="B353" s="25"/>
      <c r="C353" s="25"/>
      <c r="D353" s="25"/>
      <c r="E353" s="25"/>
      <c r="F353" s="33" t="s">
        <v>20</v>
      </c>
      <c r="G353" s="34">
        <v>150.0</v>
      </c>
      <c r="H353" s="28"/>
      <c r="I353" s="32"/>
      <c r="J353" s="32"/>
      <c r="K353" s="35">
        <f t="shared" si="36"/>
        <v>0</v>
      </c>
      <c r="L353" s="36" t="s">
        <v>21</v>
      </c>
      <c r="M353" s="37">
        <v>350.0</v>
      </c>
      <c r="N353" s="3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ht="18.75" customHeight="1">
      <c r="A354" s="24"/>
      <c r="B354" s="25"/>
      <c r="C354" s="25"/>
      <c r="D354" s="25"/>
      <c r="E354" s="25"/>
      <c r="F354" s="39" t="s">
        <v>23</v>
      </c>
      <c r="G354" s="27">
        <v>100.0</v>
      </c>
      <c r="H354" s="40">
        <v>1.0</v>
      </c>
      <c r="I354" s="29"/>
      <c r="J354" s="29"/>
      <c r="K354" s="30">
        <f t="shared" si="36"/>
        <v>100</v>
      </c>
      <c r="L354" s="41" t="s">
        <v>24</v>
      </c>
      <c r="M354" s="42">
        <v>3500.0</v>
      </c>
      <c r="N354" s="38" t="s">
        <v>22</v>
      </c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ht="18.75" customHeight="1">
      <c r="A355" s="24"/>
      <c r="B355" s="25"/>
      <c r="C355" s="25"/>
      <c r="D355" s="25"/>
      <c r="E355" s="25"/>
      <c r="F355" s="43" t="s">
        <v>25</v>
      </c>
      <c r="G355" s="44">
        <v>200.0</v>
      </c>
      <c r="H355" s="28"/>
      <c r="I355" s="32"/>
      <c r="J355" s="32"/>
      <c r="K355" s="35">
        <f t="shared" si="36"/>
        <v>0</v>
      </c>
      <c r="L355" s="36" t="s">
        <v>26</v>
      </c>
      <c r="M355" s="45">
        <v>10830.0</v>
      </c>
      <c r="N355" s="25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ht="18.75" customHeight="1">
      <c r="A356" s="24"/>
      <c r="B356" s="25"/>
      <c r="C356" s="25"/>
      <c r="D356" s="25"/>
      <c r="E356" s="25"/>
      <c r="F356" s="31" t="s">
        <v>29</v>
      </c>
      <c r="G356" s="34"/>
      <c r="H356" s="29"/>
      <c r="I356" s="32"/>
      <c r="J356" s="47"/>
      <c r="K356" s="35">
        <f t="shared" si="36"/>
        <v>0</v>
      </c>
      <c r="L356" s="48" t="s">
        <v>28</v>
      </c>
      <c r="M356" s="49">
        <f>1215+1340</f>
        <v>2555</v>
      </c>
      <c r="N356" s="25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ht="18.75" customHeight="1">
      <c r="A357" s="24"/>
      <c r="B357" s="25"/>
      <c r="C357" s="25"/>
      <c r="D357" s="25"/>
      <c r="E357" s="53"/>
      <c r="F357" s="64" t="s">
        <v>31</v>
      </c>
      <c r="G357" s="65"/>
      <c r="H357" s="32"/>
      <c r="I357" s="29"/>
      <c r="J357" s="29"/>
      <c r="K357" s="35">
        <f t="shared" si="36"/>
        <v>0</v>
      </c>
      <c r="L357" s="51" t="s">
        <v>30</v>
      </c>
      <c r="M357" s="52">
        <v>3999.0</v>
      </c>
      <c r="N357" s="5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ht="18.75" customHeight="1">
      <c r="A358" s="24"/>
      <c r="B358" s="25"/>
      <c r="C358" s="25"/>
      <c r="D358" s="25"/>
      <c r="E358" s="22"/>
      <c r="F358" s="31"/>
      <c r="G358" s="31"/>
      <c r="H358" s="31"/>
      <c r="I358" s="29"/>
      <c r="J358" s="29"/>
      <c r="K358" s="56"/>
      <c r="L358" s="81" t="s">
        <v>32</v>
      </c>
      <c r="M358" s="42">
        <v>-2000.0</v>
      </c>
      <c r="N358" s="22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ht="18.75" customHeight="1">
      <c r="A359" s="24"/>
      <c r="B359" s="25"/>
      <c r="C359" s="25"/>
      <c r="D359" s="25"/>
      <c r="E359" s="22">
        <f>N368</f>
        <v>162222</v>
      </c>
      <c r="F359" s="54" t="s">
        <v>33</v>
      </c>
      <c r="G359" s="55"/>
      <c r="H359" s="53"/>
      <c r="I359" s="29"/>
      <c r="J359" s="29"/>
      <c r="K359" s="56">
        <f>SUM(K351:K357)</f>
        <v>29100</v>
      </c>
      <c r="L359" s="41" t="s">
        <v>34</v>
      </c>
      <c r="M359" s="56">
        <f>SUM(M351:M358)</f>
        <v>19634</v>
      </c>
      <c r="N359" s="22">
        <f>E359+K359-M359</f>
        <v>171688</v>
      </c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ht="82.5" customHeight="1">
      <c r="A360" s="57"/>
      <c r="B360" s="53"/>
      <c r="C360" s="53"/>
      <c r="D360" s="53"/>
      <c r="E360" s="58" t="s">
        <v>35</v>
      </c>
      <c r="F360" s="59" t="s">
        <v>103</v>
      </c>
      <c r="G360" s="55"/>
      <c r="H360" s="55"/>
      <c r="I360" s="55"/>
      <c r="J360" s="55"/>
      <c r="K360" s="55"/>
      <c r="L360" s="55"/>
      <c r="M360" s="55"/>
      <c r="N360" s="5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ht="18.75" customHeight="1">
      <c r="A361" s="11">
        <v>1138.0</v>
      </c>
      <c r="B361" s="12">
        <v>45458.0</v>
      </c>
      <c r="C361" s="13"/>
      <c r="D361" s="14" t="s">
        <v>41</v>
      </c>
      <c r="E361" s="15" t="s">
        <v>15</v>
      </c>
      <c r="F361" s="16" t="s">
        <v>16</v>
      </c>
      <c r="G361" s="17">
        <v>200.0</v>
      </c>
      <c r="H361" s="18">
        <v>90.0</v>
      </c>
      <c r="I361" s="19"/>
      <c r="J361" s="19"/>
      <c r="K361" s="20">
        <f t="shared" ref="K361:K367" si="37">G361*H361</f>
        <v>18000</v>
      </c>
      <c r="L361" s="21" t="s">
        <v>17</v>
      </c>
      <c r="M361" s="20">
        <v>200.0</v>
      </c>
      <c r="N361" s="9" t="s">
        <v>13</v>
      </c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ht="18.75" customHeight="1">
      <c r="A362" s="24"/>
      <c r="B362" s="25"/>
      <c r="C362" s="25"/>
      <c r="D362" s="25"/>
      <c r="E362" s="25"/>
      <c r="F362" s="26" t="s">
        <v>18</v>
      </c>
      <c r="G362" s="27">
        <v>150.0</v>
      </c>
      <c r="H362" s="28">
        <v>46.0</v>
      </c>
      <c r="I362" s="29"/>
      <c r="J362" s="29"/>
      <c r="K362" s="30">
        <f t="shared" si="37"/>
        <v>6900</v>
      </c>
      <c r="L362" s="31" t="s">
        <v>19</v>
      </c>
      <c r="M362" s="30">
        <v>200.0</v>
      </c>
      <c r="N362" s="22">
        <f>K368-M368</f>
        <v>6200</v>
      </c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ht="18.75" customHeight="1">
      <c r="A363" s="24"/>
      <c r="B363" s="25"/>
      <c r="C363" s="25"/>
      <c r="D363" s="25"/>
      <c r="E363" s="25"/>
      <c r="F363" s="33" t="s">
        <v>20</v>
      </c>
      <c r="G363" s="34">
        <v>150.0</v>
      </c>
      <c r="H363" s="28"/>
      <c r="I363" s="32"/>
      <c r="J363" s="32"/>
      <c r="K363" s="35">
        <f t="shared" si="37"/>
        <v>0</v>
      </c>
      <c r="L363" s="36" t="s">
        <v>21</v>
      </c>
      <c r="M363" s="37">
        <v>400.0</v>
      </c>
      <c r="N363" s="32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ht="18.75" customHeight="1">
      <c r="A364" s="24"/>
      <c r="B364" s="25"/>
      <c r="C364" s="25"/>
      <c r="D364" s="25"/>
      <c r="E364" s="25"/>
      <c r="F364" s="39" t="s">
        <v>23</v>
      </c>
      <c r="G364" s="27">
        <v>100.0</v>
      </c>
      <c r="H364" s="40"/>
      <c r="I364" s="29"/>
      <c r="J364" s="29"/>
      <c r="K364" s="30">
        <f t="shared" si="37"/>
        <v>0</v>
      </c>
      <c r="L364" s="41" t="s">
        <v>24</v>
      </c>
      <c r="M364" s="42">
        <v>4000.0</v>
      </c>
      <c r="N364" s="38" t="s">
        <v>22</v>
      </c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ht="18.75" customHeight="1">
      <c r="A365" s="24"/>
      <c r="B365" s="25"/>
      <c r="C365" s="25"/>
      <c r="D365" s="25"/>
      <c r="E365" s="25"/>
      <c r="F365" s="43" t="s">
        <v>25</v>
      </c>
      <c r="G365" s="44">
        <v>200.0</v>
      </c>
      <c r="H365" s="28"/>
      <c r="I365" s="32"/>
      <c r="J365" s="32"/>
      <c r="K365" s="35">
        <f t="shared" si="37"/>
        <v>0</v>
      </c>
      <c r="L365" s="36" t="s">
        <v>26</v>
      </c>
      <c r="M365" s="45">
        <v>9660.0</v>
      </c>
      <c r="N365" s="25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ht="18.75" customHeight="1">
      <c r="A366" s="24"/>
      <c r="B366" s="25"/>
      <c r="C366" s="25"/>
      <c r="D366" s="25"/>
      <c r="E366" s="25"/>
      <c r="F366" s="31" t="s">
        <v>29</v>
      </c>
      <c r="G366" s="34"/>
      <c r="H366" s="29"/>
      <c r="I366" s="32"/>
      <c r="J366" s="47"/>
      <c r="K366" s="35">
        <f t="shared" si="37"/>
        <v>0</v>
      </c>
      <c r="L366" s="48" t="s">
        <v>28</v>
      </c>
      <c r="M366" s="49">
        <f>1440+1340+260</f>
        <v>3040</v>
      </c>
      <c r="N366" s="25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ht="18.75" customHeight="1">
      <c r="A367" s="24"/>
      <c r="B367" s="25"/>
      <c r="C367" s="25"/>
      <c r="D367" s="25"/>
      <c r="E367" s="53"/>
      <c r="F367" s="64" t="s">
        <v>31</v>
      </c>
      <c r="G367" s="65"/>
      <c r="H367" s="32"/>
      <c r="I367" s="29"/>
      <c r="J367" s="29"/>
      <c r="K367" s="35">
        <f t="shared" si="37"/>
        <v>0</v>
      </c>
      <c r="L367" s="82" t="s">
        <v>30</v>
      </c>
      <c r="M367" s="52">
        <v>1200.0</v>
      </c>
      <c r="N367" s="5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ht="18.75" customHeight="1">
      <c r="A368" s="24"/>
      <c r="B368" s="25"/>
      <c r="C368" s="25"/>
      <c r="D368" s="25"/>
      <c r="E368" s="22">
        <f>N377</f>
        <v>156022</v>
      </c>
      <c r="F368" s="54" t="s">
        <v>33</v>
      </c>
      <c r="G368" s="55"/>
      <c r="H368" s="53"/>
      <c r="I368" s="29"/>
      <c r="J368" s="29"/>
      <c r="K368" s="56">
        <f>SUM(K361:K367)</f>
        <v>24900</v>
      </c>
      <c r="L368" s="41" t="s">
        <v>34</v>
      </c>
      <c r="M368" s="56">
        <f>SUM(M361:M367)</f>
        <v>18700</v>
      </c>
      <c r="N368" s="22">
        <f>E368+K368-M368</f>
        <v>162222</v>
      </c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ht="72.75" customHeight="1">
      <c r="A369" s="57"/>
      <c r="B369" s="53"/>
      <c r="C369" s="53"/>
      <c r="D369" s="53"/>
      <c r="E369" s="58" t="s">
        <v>35</v>
      </c>
      <c r="F369" s="59" t="s">
        <v>104</v>
      </c>
      <c r="G369" s="55"/>
      <c r="H369" s="55"/>
      <c r="I369" s="55"/>
      <c r="J369" s="55"/>
      <c r="K369" s="55"/>
      <c r="L369" s="55"/>
      <c r="M369" s="55"/>
      <c r="N369" s="5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ht="18.75" customHeight="1">
      <c r="A370" s="11">
        <v>1137.0</v>
      </c>
      <c r="B370" s="12">
        <v>45451.0</v>
      </c>
      <c r="C370" s="13"/>
      <c r="D370" s="14" t="s">
        <v>105</v>
      </c>
      <c r="E370" s="15" t="s">
        <v>15</v>
      </c>
      <c r="F370" s="16" t="s">
        <v>16</v>
      </c>
      <c r="G370" s="17">
        <v>200.0</v>
      </c>
      <c r="H370" s="18">
        <v>73.0</v>
      </c>
      <c r="I370" s="19"/>
      <c r="J370" s="19"/>
      <c r="K370" s="20">
        <f t="shared" ref="K370:K376" si="38">G370*H370</f>
        <v>14600</v>
      </c>
      <c r="L370" s="21" t="s">
        <v>17</v>
      </c>
      <c r="M370" s="20">
        <v>200.0</v>
      </c>
      <c r="N370" s="9" t="s">
        <v>13</v>
      </c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ht="18.75" customHeight="1">
      <c r="A371" s="24"/>
      <c r="B371" s="25"/>
      <c r="C371" s="25"/>
      <c r="D371" s="25"/>
      <c r="E371" s="25"/>
      <c r="F371" s="26" t="s">
        <v>18</v>
      </c>
      <c r="G371" s="27">
        <v>150.0</v>
      </c>
      <c r="H371" s="28">
        <v>51.0</v>
      </c>
      <c r="I371" s="29"/>
      <c r="J371" s="29"/>
      <c r="K371" s="30">
        <f t="shared" si="38"/>
        <v>7650</v>
      </c>
      <c r="L371" s="31" t="s">
        <v>19</v>
      </c>
      <c r="M371" s="30">
        <v>200.0</v>
      </c>
      <c r="N371" s="22">
        <f>K377-M377</f>
        <v>6420</v>
      </c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ht="18.75" customHeight="1">
      <c r="A372" s="24"/>
      <c r="B372" s="25"/>
      <c r="C372" s="25"/>
      <c r="D372" s="25"/>
      <c r="E372" s="25"/>
      <c r="F372" s="33" t="s">
        <v>20</v>
      </c>
      <c r="G372" s="34">
        <v>150.0</v>
      </c>
      <c r="H372" s="28"/>
      <c r="I372" s="32"/>
      <c r="J372" s="32"/>
      <c r="K372" s="35">
        <f t="shared" si="38"/>
        <v>0</v>
      </c>
      <c r="L372" s="36" t="s">
        <v>21</v>
      </c>
      <c r="M372" s="37">
        <v>350.0</v>
      </c>
      <c r="N372" s="32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ht="18.75" customHeight="1">
      <c r="A373" s="24"/>
      <c r="B373" s="25"/>
      <c r="C373" s="25"/>
      <c r="D373" s="25"/>
      <c r="E373" s="25"/>
      <c r="F373" s="39" t="s">
        <v>23</v>
      </c>
      <c r="G373" s="27">
        <v>100.0</v>
      </c>
      <c r="H373" s="40"/>
      <c r="I373" s="29"/>
      <c r="J373" s="29"/>
      <c r="K373" s="30">
        <f t="shared" si="38"/>
        <v>0</v>
      </c>
      <c r="L373" s="41" t="s">
        <v>24</v>
      </c>
      <c r="M373" s="42">
        <v>3500.0</v>
      </c>
      <c r="N373" s="38" t="s">
        <v>22</v>
      </c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ht="18.75" customHeight="1">
      <c r="A374" s="24"/>
      <c r="B374" s="25"/>
      <c r="C374" s="25"/>
      <c r="D374" s="25"/>
      <c r="E374" s="25"/>
      <c r="F374" s="43" t="s">
        <v>25</v>
      </c>
      <c r="G374" s="44">
        <v>200.0</v>
      </c>
      <c r="H374" s="28"/>
      <c r="I374" s="32"/>
      <c r="J374" s="32"/>
      <c r="K374" s="35">
        <f t="shared" si="38"/>
        <v>0</v>
      </c>
      <c r="L374" s="36" t="s">
        <v>26</v>
      </c>
      <c r="M374" s="45">
        <v>8170.0</v>
      </c>
      <c r="N374" s="25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ht="18.75" customHeight="1">
      <c r="A375" s="24"/>
      <c r="B375" s="25"/>
      <c r="C375" s="25"/>
      <c r="D375" s="25"/>
      <c r="E375" s="25"/>
      <c r="F375" s="31" t="s">
        <v>29</v>
      </c>
      <c r="G375" s="34"/>
      <c r="H375" s="29"/>
      <c r="I375" s="32"/>
      <c r="J375" s="47"/>
      <c r="K375" s="35">
        <f t="shared" si="38"/>
        <v>0</v>
      </c>
      <c r="L375" s="48" t="s">
        <v>28</v>
      </c>
      <c r="M375" s="49">
        <f>990+1220</f>
        <v>2210</v>
      </c>
      <c r="N375" s="25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ht="18.75" customHeight="1">
      <c r="A376" s="24"/>
      <c r="B376" s="25"/>
      <c r="C376" s="25"/>
      <c r="D376" s="25"/>
      <c r="E376" s="53"/>
      <c r="F376" s="64" t="s">
        <v>31</v>
      </c>
      <c r="G376" s="65"/>
      <c r="H376" s="32"/>
      <c r="I376" s="29"/>
      <c r="J376" s="29"/>
      <c r="K376" s="35">
        <f t="shared" si="38"/>
        <v>0</v>
      </c>
      <c r="L376" s="82" t="s">
        <v>30</v>
      </c>
      <c r="M376" s="52">
        <v>1200.0</v>
      </c>
      <c r="N376" s="5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ht="18.75" customHeight="1">
      <c r="A377" s="24"/>
      <c r="B377" s="25"/>
      <c r="C377" s="25"/>
      <c r="D377" s="25"/>
      <c r="E377" s="22">
        <f>N386</f>
        <v>149602</v>
      </c>
      <c r="F377" s="54" t="s">
        <v>33</v>
      </c>
      <c r="G377" s="55"/>
      <c r="H377" s="53"/>
      <c r="I377" s="29"/>
      <c r="J377" s="29"/>
      <c r="K377" s="56">
        <f>SUM(K370:K376)</f>
        <v>22250</v>
      </c>
      <c r="L377" s="41" t="s">
        <v>34</v>
      </c>
      <c r="M377" s="56">
        <f>SUM(M370:M376)</f>
        <v>15830</v>
      </c>
      <c r="N377" s="22">
        <f>E377+K377-M377</f>
        <v>156022</v>
      </c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ht="55.5" customHeight="1">
      <c r="A378" s="57"/>
      <c r="B378" s="53"/>
      <c r="C378" s="53"/>
      <c r="D378" s="53"/>
      <c r="E378" s="58" t="s">
        <v>35</v>
      </c>
      <c r="F378" s="59" t="s">
        <v>106</v>
      </c>
      <c r="G378" s="55"/>
      <c r="H378" s="55"/>
      <c r="I378" s="55"/>
      <c r="J378" s="55"/>
      <c r="K378" s="55"/>
      <c r="L378" s="55"/>
      <c r="M378" s="55"/>
      <c r="N378" s="5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ht="18.75" customHeight="1">
      <c r="A379" s="11">
        <v>1136.0</v>
      </c>
      <c r="B379" s="12">
        <v>45444.0</v>
      </c>
      <c r="C379" s="13"/>
      <c r="D379" s="14" t="s">
        <v>107</v>
      </c>
      <c r="E379" s="15" t="s">
        <v>15</v>
      </c>
      <c r="F379" s="16" t="s">
        <v>16</v>
      </c>
      <c r="G379" s="17">
        <v>200.0</v>
      </c>
      <c r="H379" s="18">
        <v>70.0</v>
      </c>
      <c r="I379" s="19"/>
      <c r="J379" s="19"/>
      <c r="K379" s="20">
        <f t="shared" ref="K379:K385" si="39">G379*H379</f>
        <v>14000</v>
      </c>
      <c r="L379" s="21" t="s">
        <v>17</v>
      </c>
      <c r="M379" s="20">
        <v>200.0</v>
      </c>
      <c r="N379" s="9" t="s">
        <v>13</v>
      </c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ht="18.75" customHeight="1">
      <c r="A380" s="24"/>
      <c r="B380" s="25"/>
      <c r="C380" s="25"/>
      <c r="D380" s="25"/>
      <c r="E380" s="25"/>
      <c r="F380" s="26" t="s">
        <v>18</v>
      </c>
      <c r="G380" s="27">
        <v>150.0</v>
      </c>
      <c r="H380" s="28">
        <v>39.0</v>
      </c>
      <c r="I380" s="29"/>
      <c r="J380" s="29"/>
      <c r="K380" s="30">
        <f t="shared" si="39"/>
        <v>5850</v>
      </c>
      <c r="L380" s="31" t="s">
        <v>19</v>
      </c>
      <c r="M380" s="30">
        <v>200.0</v>
      </c>
      <c r="N380" s="22">
        <f>K386-M386</f>
        <v>5825</v>
      </c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ht="18.75" customHeight="1">
      <c r="A381" s="24"/>
      <c r="B381" s="25"/>
      <c r="C381" s="25"/>
      <c r="D381" s="25"/>
      <c r="E381" s="25"/>
      <c r="F381" s="33" t="s">
        <v>20</v>
      </c>
      <c r="G381" s="34">
        <v>150.0</v>
      </c>
      <c r="H381" s="28">
        <v>1.0</v>
      </c>
      <c r="I381" s="32"/>
      <c r="J381" s="32"/>
      <c r="K381" s="35">
        <f t="shared" si="39"/>
        <v>150</v>
      </c>
      <c r="L381" s="36" t="s">
        <v>21</v>
      </c>
      <c r="M381" s="37">
        <v>400.0</v>
      </c>
      <c r="N381" s="32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ht="18.75" customHeight="1">
      <c r="A382" s="24"/>
      <c r="B382" s="25"/>
      <c r="C382" s="25"/>
      <c r="D382" s="25"/>
      <c r="E382" s="25"/>
      <c r="F382" s="39" t="s">
        <v>23</v>
      </c>
      <c r="G382" s="27">
        <v>100.0</v>
      </c>
      <c r="H382" s="40"/>
      <c r="I382" s="29"/>
      <c r="J382" s="29"/>
      <c r="K382" s="30">
        <f t="shared" si="39"/>
        <v>0</v>
      </c>
      <c r="L382" s="41" t="s">
        <v>24</v>
      </c>
      <c r="M382" s="42">
        <v>3500.0</v>
      </c>
      <c r="N382" s="38" t="s">
        <v>22</v>
      </c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ht="18.75" customHeight="1">
      <c r="A383" s="24"/>
      <c r="B383" s="25"/>
      <c r="C383" s="25"/>
      <c r="D383" s="25"/>
      <c r="E383" s="25"/>
      <c r="F383" s="43" t="s">
        <v>25</v>
      </c>
      <c r="G383" s="44">
        <v>200.0</v>
      </c>
      <c r="H383" s="28">
        <v>1.0</v>
      </c>
      <c r="I383" s="32"/>
      <c r="J383" s="32"/>
      <c r="K383" s="35">
        <f t="shared" si="39"/>
        <v>200</v>
      </c>
      <c r="L383" s="36" t="s">
        <v>26</v>
      </c>
      <c r="M383" s="45">
        <v>5220.0</v>
      </c>
      <c r="N383" s="25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ht="18.75" customHeight="1">
      <c r="A384" s="24"/>
      <c r="B384" s="25"/>
      <c r="C384" s="25"/>
      <c r="D384" s="25"/>
      <c r="E384" s="25"/>
      <c r="F384" s="31" t="s">
        <v>29</v>
      </c>
      <c r="G384" s="34"/>
      <c r="H384" s="29"/>
      <c r="I384" s="32"/>
      <c r="J384" s="47"/>
      <c r="K384" s="35">
        <f t="shared" si="39"/>
        <v>0</v>
      </c>
      <c r="L384" s="48" t="s">
        <v>28</v>
      </c>
      <c r="M384" s="49">
        <f>1665+1210</f>
        <v>2875</v>
      </c>
      <c r="N384" s="25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ht="18.75" customHeight="1">
      <c r="A385" s="24"/>
      <c r="B385" s="25"/>
      <c r="C385" s="25"/>
      <c r="D385" s="25"/>
      <c r="E385" s="53"/>
      <c r="F385" s="64" t="s">
        <v>31</v>
      </c>
      <c r="G385" s="65"/>
      <c r="H385" s="32"/>
      <c r="I385" s="29"/>
      <c r="J385" s="29"/>
      <c r="K385" s="35">
        <f t="shared" si="39"/>
        <v>0</v>
      </c>
      <c r="L385" s="82" t="s">
        <v>30</v>
      </c>
      <c r="M385" s="52">
        <v>1980.0</v>
      </c>
      <c r="N385" s="5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ht="18.75" customHeight="1">
      <c r="A386" s="24"/>
      <c r="B386" s="25"/>
      <c r="C386" s="25"/>
      <c r="D386" s="25"/>
      <c r="E386" s="22">
        <f>N395</f>
        <v>143777</v>
      </c>
      <c r="F386" s="54" t="s">
        <v>33</v>
      </c>
      <c r="G386" s="55"/>
      <c r="H386" s="53"/>
      <c r="I386" s="29"/>
      <c r="J386" s="29"/>
      <c r="K386" s="56">
        <f>SUM(K379:K385)</f>
        <v>20200</v>
      </c>
      <c r="L386" s="41" t="s">
        <v>34</v>
      </c>
      <c r="M386" s="56">
        <f>SUM(M379:M385)</f>
        <v>14375</v>
      </c>
      <c r="N386" s="22">
        <f>E386+K386-M386</f>
        <v>149602</v>
      </c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ht="59.25" customHeight="1">
      <c r="A387" s="57"/>
      <c r="B387" s="53"/>
      <c r="C387" s="53"/>
      <c r="D387" s="53"/>
      <c r="E387" s="58" t="s">
        <v>35</v>
      </c>
      <c r="F387" s="59" t="s">
        <v>108</v>
      </c>
      <c r="G387" s="55"/>
      <c r="H387" s="55"/>
      <c r="I387" s="55"/>
      <c r="J387" s="55"/>
      <c r="K387" s="55"/>
      <c r="L387" s="55"/>
      <c r="M387" s="55"/>
      <c r="N387" s="5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ht="18.75" customHeight="1">
      <c r="A388" s="11">
        <v>1135.0</v>
      </c>
      <c r="B388" s="12">
        <v>45437.0</v>
      </c>
      <c r="C388" s="13"/>
      <c r="D388" s="14" t="s">
        <v>109</v>
      </c>
      <c r="E388" s="15" t="s">
        <v>15</v>
      </c>
      <c r="F388" s="16" t="s">
        <v>16</v>
      </c>
      <c r="G388" s="17">
        <v>200.0</v>
      </c>
      <c r="H388" s="18">
        <v>81.0</v>
      </c>
      <c r="I388" s="19"/>
      <c r="J388" s="19"/>
      <c r="K388" s="20">
        <f t="shared" ref="K388:K394" si="40">G388*H388</f>
        <v>16200</v>
      </c>
      <c r="L388" s="21" t="s">
        <v>17</v>
      </c>
      <c r="M388" s="20">
        <v>200.0</v>
      </c>
      <c r="N388" s="9" t="s">
        <v>13</v>
      </c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ht="18.75" customHeight="1">
      <c r="A389" s="24"/>
      <c r="B389" s="25"/>
      <c r="C389" s="25"/>
      <c r="D389" s="25"/>
      <c r="E389" s="25"/>
      <c r="F389" s="26" t="s">
        <v>18</v>
      </c>
      <c r="G389" s="27">
        <v>150.0</v>
      </c>
      <c r="H389" s="28">
        <v>42.0</v>
      </c>
      <c r="I389" s="29"/>
      <c r="J389" s="29"/>
      <c r="K389" s="30">
        <f t="shared" si="40"/>
        <v>6300</v>
      </c>
      <c r="L389" s="31" t="s">
        <v>19</v>
      </c>
      <c r="M389" s="30">
        <v>200.0</v>
      </c>
      <c r="N389" s="22">
        <f>K395-M395</f>
        <v>6596</v>
      </c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ht="18.75" customHeight="1">
      <c r="A390" s="24"/>
      <c r="B390" s="25"/>
      <c r="C390" s="25"/>
      <c r="D390" s="25"/>
      <c r="E390" s="25"/>
      <c r="F390" s="33" t="s">
        <v>20</v>
      </c>
      <c r="G390" s="34">
        <v>150.0</v>
      </c>
      <c r="H390" s="28">
        <v>1.0</v>
      </c>
      <c r="I390" s="32"/>
      <c r="J390" s="32"/>
      <c r="K390" s="35">
        <f t="shared" si="40"/>
        <v>150</v>
      </c>
      <c r="L390" s="36" t="s">
        <v>21</v>
      </c>
      <c r="M390" s="37">
        <v>350.0</v>
      </c>
      <c r="N390" s="32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ht="18.75" customHeight="1">
      <c r="A391" s="24"/>
      <c r="B391" s="25"/>
      <c r="C391" s="25"/>
      <c r="D391" s="25"/>
      <c r="E391" s="25"/>
      <c r="F391" s="39" t="s">
        <v>23</v>
      </c>
      <c r="G391" s="27">
        <v>100.0</v>
      </c>
      <c r="H391" s="40"/>
      <c r="I391" s="29"/>
      <c r="J391" s="29"/>
      <c r="K391" s="30">
        <f t="shared" si="40"/>
        <v>0</v>
      </c>
      <c r="L391" s="41" t="s">
        <v>24</v>
      </c>
      <c r="M391" s="42">
        <v>3500.0</v>
      </c>
      <c r="N391" s="38" t="s">
        <v>22</v>
      </c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ht="18.75" customHeight="1">
      <c r="A392" s="24"/>
      <c r="B392" s="25"/>
      <c r="C392" s="25"/>
      <c r="D392" s="25"/>
      <c r="E392" s="25"/>
      <c r="F392" s="43" t="s">
        <v>25</v>
      </c>
      <c r="G392" s="44">
        <v>200.0</v>
      </c>
      <c r="H392" s="28"/>
      <c r="I392" s="32"/>
      <c r="J392" s="32"/>
      <c r="K392" s="35">
        <f t="shared" si="40"/>
        <v>0</v>
      </c>
      <c r="L392" s="36" t="s">
        <v>26</v>
      </c>
      <c r="M392" s="45">
        <v>8740.0</v>
      </c>
      <c r="N392" s="25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ht="18.75" customHeight="1">
      <c r="A393" s="24"/>
      <c r="B393" s="25"/>
      <c r="C393" s="25"/>
      <c r="D393" s="25"/>
      <c r="E393" s="25"/>
      <c r="F393" s="31" t="s">
        <v>29</v>
      </c>
      <c r="G393" s="34"/>
      <c r="H393" s="29"/>
      <c r="I393" s="32"/>
      <c r="J393" s="47"/>
      <c r="K393" s="35">
        <f t="shared" si="40"/>
        <v>0</v>
      </c>
      <c r="L393" s="48" t="s">
        <v>28</v>
      </c>
      <c r="M393" s="49">
        <f>1530+1210</f>
        <v>2740</v>
      </c>
      <c r="N393" s="25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ht="18.75" customHeight="1">
      <c r="A394" s="24"/>
      <c r="B394" s="25"/>
      <c r="C394" s="25"/>
      <c r="D394" s="25"/>
      <c r="E394" s="53"/>
      <c r="F394" s="64" t="s">
        <v>31</v>
      </c>
      <c r="G394" s="65"/>
      <c r="H394" s="32"/>
      <c r="I394" s="29"/>
      <c r="J394" s="29"/>
      <c r="K394" s="35">
        <f t="shared" si="40"/>
        <v>0</v>
      </c>
      <c r="L394" s="82" t="s">
        <v>30</v>
      </c>
      <c r="M394" s="52">
        <v>324.0</v>
      </c>
      <c r="N394" s="5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ht="18.75" customHeight="1">
      <c r="A395" s="24"/>
      <c r="B395" s="25"/>
      <c r="C395" s="25"/>
      <c r="D395" s="25"/>
      <c r="E395" s="22">
        <f>N405</f>
        <v>137181</v>
      </c>
      <c r="F395" s="54" t="s">
        <v>33</v>
      </c>
      <c r="G395" s="55"/>
      <c r="H395" s="53"/>
      <c r="I395" s="29"/>
      <c r="J395" s="29"/>
      <c r="K395" s="56">
        <f>SUM(K388:K394)</f>
        <v>22650</v>
      </c>
      <c r="L395" s="41" t="s">
        <v>34</v>
      </c>
      <c r="M395" s="56">
        <f>SUM(M388:M394)</f>
        <v>16054</v>
      </c>
      <c r="N395" s="22">
        <f>E395+K395-M395</f>
        <v>143777</v>
      </c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ht="69.0" customHeight="1">
      <c r="A396" s="57"/>
      <c r="B396" s="53"/>
      <c r="C396" s="53"/>
      <c r="D396" s="53"/>
      <c r="E396" s="58" t="s">
        <v>35</v>
      </c>
      <c r="F396" s="59" t="s">
        <v>110</v>
      </c>
      <c r="G396" s="55"/>
      <c r="H396" s="55"/>
      <c r="I396" s="55"/>
      <c r="J396" s="55"/>
      <c r="K396" s="55"/>
      <c r="L396" s="55"/>
      <c r="M396" s="55"/>
      <c r="N396" s="5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ht="18.75" customHeight="1">
      <c r="A397" s="11">
        <v>1134.0</v>
      </c>
      <c r="B397" s="12">
        <v>45430.0</v>
      </c>
      <c r="C397" s="13"/>
      <c r="D397" s="14" t="s">
        <v>111</v>
      </c>
      <c r="E397" s="15" t="s">
        <v>15</v>
      </c>
      <c r="F397" s="16" t="s">
        <v>16</v>
      </c>
      <c r="G397" s="17">
        <v>1250.0</v>
      </c>
      <c r="H397" s="18">
        <v>67.0</v>
      </c>
      <c r="I397" s="19"/>
      <c r="J397" s="19"/>
      <c r="K397" s="20">
        <f t="shared" ref="K397:K402" si="41">G397*H397</f>
        <v>83750</v>
      </c>
      <c r="L397" s="21" t="s">
        <v>17</v>
      </c>
      <c r="M397" s="20">
        <v>200.0</v>
      </c>
      <c r="N397" s="9" t="s">
        <v>13</v>
      </c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ht="18.75" customHeight="1">
      <c r="A398" s="24"/>
      <c r="B398" s="25"/>
      <c r="C398" s="25"/>
      <c r="D398" s="25"/>
      <c r="E398" s="25"/>
      <c r="F398" s="26" t="s">
        <v>18</v>
      </c>
      <c r="G398" s="27">
        <v>1200.0</v>
      </c>
      <c r="H398" s="28">
        <v>38.0</v>
      </c>
      <c r="I398" s="29"/>
      <c r="J398" s="29"/>
      <c r="K398" s="30">
        <f t="shared" si="41"/>
        <v>45600</v>
      </c>
      <c r="L398" s="31" t="s">
        <v>19</v>
      </c>
      <c r="M398" s="30">
        <v>200.0</v>
      </c>
      <c r="N398" s="22">
        <f>K405-M405</f>
        <v>25890</v>
      </c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ht="18.75" customHeight="1">
      <c r="A399" s="24"/>
      <c r="B399" s="25"/>
      <c r="C399" s="25"/>
      <c r="D399" s="25"/>
      <c r="E399" s="25"/>
      <c r="F399" s="33" t="s">
        <v>112</v>
      </c>
      <c r="G399" s="34">
        <v>200.0</v>
      </c>
      <c r="H399" s="40">
        <v>3.0</v>
      </c>
      <c r="I399" s="32"/>
      <c r="J399" s="32"/>
      <c r="K399" s="35">
        <f t="shared" si="41"/>
        <v>600</v>
      </c>
      <c r="L399" s="36" t="s">
        <v>21</v>
      </c>
      <c r="M399" s="37">
        <v>350.0</v>
      </c>
      <c r="N399" s="32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ht="18.75" customHeight="1">
      <c r="A400" s="24"/>
      <c r="B400" s="25"/>
      <c r="C400" s="25"/>
      <c r="D400" s="25"/>
      <c r="E400" s="25"/>
      <c r="F400" s="33" t="s">
        <v>113</v>
      </c>
      <c r="G400" s="27">
        <v>150.0</v>
      </c>
      <c r="H400" s="28">
        <v>2.0</v>
      </c>
      <c r="I400" s="29"/>
      <c r="J400" s="29"/>
      <c r="K400" s="30">
        <f t="shared" si="41"/>
        <v>300</v>
      </c>
      <c r="L400" s="28" t="s">
        <v>114</v>
      </c>
      <c r="M400" s="42">
        <f>4000+500</f>
        <v>4500</v>
      </c>
      <c r="N400" s="38" t="s">
        <v>22</v>
      </c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ht="18.75" customHeight="1">
      <c r="A401" s="24"/>
      <c r="B401" s="25"/>
      <c r="C401" s="25"/>
      <c r="D401" s="25"/>
      <c r="E401" s="25"/>
      <c r="F401" s="43" t="s">
        <v>25</v>
      </c>
      <c r="G401" s="44">
        <v>200.0</v>
      </c>
      <c r="H401" s="28"/>
      <c r="I401" s="32"/>
      <c r="J401" s="32"/>
      <c r="K401" s="35">
        <f t="shared" si="41"/>
        <v>0</v>
      </c>
      <c r="L401" s="36" t="s">
        <v>26</v>
      </c>
      <c r="M401" s="45">
        <f>8900+2820</f>
        <v>11720</v>
      </c>
      <c r="N401" s="25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ht="18.75" customHeight="1">
      <c r="A402" s="24"/>
      <c r="B402" s="25"/>
      <c r="C402" s="25"/>
      <c r="D402" s="25"/>
      <c r="E402" s="25"/>
      <c r="F402" s="50" t="s">
        <v>115</v>
      </c>
      <c r="G402" s="34">
        <v>10000.0</v>
      </c>
      <c r="H402" s="28">
        <v>1.0</v>
      </c>
      <c r="I402" s="32"/>
      <c r="J402" s="47"/>
      <c r="K402" s="35">
        <f t="shared" si="41"/>
        <v>10000</v>
      </c>
      <c r="L402" s="48" t="s">
        <v>28</v>
      </c>
      <c r="M402" s="49">
        <f>3195</f>
        <v>3195</v>
      </c>
      <c r="N402" s="25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ht="18.75" customHeight="1">
      <c r="A403" s="24"/>
      <c r="B403" s="25"/>
      <c r="C403" s="25"/>
      <c r="D403" s="25"/>
      <c r="E403" s="25"/>
      <c r="F403" s="31" t="s">
        <v>29</v>
      </c>
      <c r="G403" s="34"/>
      <c r="H403" s="29"/>
      <c r="I403" s="29"/>
      <c r="J403" s="29"/>
      <c r="K403" s="42"/>
      <c r="L403" s="82" t="s">
        <v>30</v>
      </c>
      <c r="M403" s="52">
        <f>50800+40195</f>
        <v>90995</v>
      </c>
      <c r="N403" s="25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ht="18.75" customHeight="1">
      <c r="A404" s="24"/>
      <c r="B404" s="25"/>
      <c r="C404" s="25"/>
      <c r="D404" s="25"/>
      <c r="E404" s="53"/>
      <c r="F404" s="64" t="s">
        <v>31</v>
      </c>
      <c r="G404" s="65"/>
      <c r="H404" s="32"/>
      <c r="I404" s="32"/>
      <c r="J404" s="32"/>
      <c r="K404" s="30">
        <v>0.0</v>
      </c>
      <c r="L404" s="51" t="s">
        <v>32</v>
      </c>
      <c r="M404" s="52">
        <f>1200+2000</f>
        <v>3200</v>
      </c>
      <c r="N404" s="5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ht="18.75" customHeight="1">
      <c r="A405" s="24"/>
      <c r="B405" s="25"/>
      <c r="C405" s="25"/>
      <c r="D405" s="25"/>
      <c r="E405" s="22">
        <f>N415</f>
        <v>111291</v>
      </c>
      <c r="F405" s="54" t="s">
        <v>33</v>
      </c>
      <c r="G405" s="55"/>
      <c r="H405" s="53"/>
      <c r="I405" s="29"/>
      <c r="J405" s="29"/>
      <c r="K405" s="56">
        <f>SUM(K397:K404)</f>
        <v>140250</v>
      </c>
      <c r="L405" s="41" t="s">
        <v>34</v>
      </c>
      <c r="M405" s="56">
        <f>SUM(M397:M404)</f>
        <v>114360</v>
      </c>
      <c r="N405" s="22">
        <f>E405+K405-M405</f>
        <v>137181</v>
      </c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ht="88.5" customHeight="1">
      <c r="A406" s="57"/>
      <c r="B406" s="53"/>
      <c r="C406" s="53"/>
      <c r="D406" s="53"/>
      <c r="E406" s="58" t="s">
        <v>35</v>
      </c>
      <c r="F406" s="59" t="s">
        <v>116</v>
      </c>
      <c r="G406" s="55"/>
      <c r="H406" s="55"/>
      <c r="I406" s="55"/>
      <c r="J406" s="55"/>
      <c r="K406" s="55"/>
      <c r="L406" s="55"/>
      <c r="M406" s="55"/>
      <c r="N406" s="5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ht="18.75" customHeight="1">
      <c r="A407" s="11">
        <v>1133.0</v>
      </c>
      <c r="B407" s="12">
        <v>45423.0</v>
      </c>
      <c r="C407" s="13"/>
      <c r="D407" s="14" t="s">
        <v>117</v>
      </c>
      <c r="E407" s="15" t="s">
        <v>15</v>
      </c>
      <c r="F407" s="16" t="s">
        <v>16</v>
      </c>
      <c r="G407" s="17">
        <v>200.0</v>
      </c>
      <c r="H407" s="18">
        <v>104.0</v>
      </c>
      <c r="I407" s="19"/>
      <c r="J407" s="19"/>
      <c r="K407" s="20">
        <f t="shared" ref="K407:K412" si="42">G407*H407</f>
        <v>20800</v>
      </c>
      <c r="L407" s="21" t="s">
        <v>17</v>
      </c>
      <c r="M407" s="20">
        <v>200.0</v>
      </c>
      <c r="N407" s="9" t="s">
        <v>13</v>
      </c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ht="18.75" customHeight="1">
      <c r="A408" s="24"/>
      <c r="B408" s="25"/>
      <c r="C408" s="25"/>
      <c r="D408" s="25"/>
      <c r="E408" s="25"/>
      <c r="F408" s="26" t="s">
        <v>18</v>
      </c>
      <c r="G408" s="27">
        <v>150.0</v>
      </c>
      <c r="H408" s="28">
        <v>58.0</v>
      </c>
      <c r="I408" s="29"/>
      <c r="J408" s="29"/>
      <c r="K408" s="30">
        <f t="shared" si="42"/>
        <v>8700</v>
      </c>
      <c r="L408" s="31" t="s">
        <v>19</v>
      </c>
      <c r="M408" s="30">
        <v>200.0</v>
      </c>
      <c r="N408" s="22">
        <f>K415-M415</f>
        <v>10525</v>
      </c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ht="18.75" customHeight="1">
      <c r="A409" s="24"/>
      <c r="B409" s="25"/>
      <c r="C409" s="25"/>
      <c r="D409" s="25"/>
      <c r="E409" s="25"/>
      <c r="F409" s="39" t="s">
        <v>23</v>
      </c>
      <c r="G409" s="83">
        <v>100.0</v>
      </c>
      <c r="H409" s="40">
        <v>1.0</v>
      </c>
      <c r="I409" s="32"/>
      <c r="J409" s="32"/>
      <c r="K409" s="35">
        <f t="shared" si="42"/>
        <v>100</v>
      </c>
      <c r="L409" s="36" t="s">
        <v>21</v>
      </c>
      <c r="M409" s="37">
        <v>350.0</v>
      </c>
      <c r="N409" s="32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ht="18.75" customHeight="1">
      <c r="A410" s="24"/>
      <c r="B410" s="25"/>
      <c r="C410" s="25"/>
      <c r="D410" s="25"/>
      <c r="E410" s="25"/>
      <c r="F410" s="33" t="s">
        <v>20</v>
      </c>
      <c r="G410" s="27">
        <v>150.0</v>
      </c>
      <c r="H410" s="28">
        <v>2.0</v>
      </c>
      <c r="I410" s="29"/>
      <c r="J410" s="29"/>
      <c r="K410" s="30">
        <f t="shared" si="42"/>
        <v>300</v>
      </c>
      <c r="L410" s="41" t="s">
        <v>24</v>
      </c>
      <c r="M410" s="42">
        <v>4000.0</v>
      </c>
      <c r="N410" s="38" t="s">
        <v>22</v>
      </c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ht="18.75" customHeight="1">
      <c r="A411" s="24"/>
      <c r="B411" s="25"/>
      <c r="C411" s="25"/>
      <c r="D411" s="25"/>
      <c r="E411" s="25"/>
      <c r="F411" s="43" t="s">
        <v>25</v>
      </c>
      <c r="G411" s="44">
        <v>200.0</v>
      </c>
      <c r="H411" s="28"/>
      <c r="I411" s="32"/>
      <c r="J411" s="32"/>
      <c r="K411" s="35">
        <f t="shared" si="42"/>
        <v>0</v>
      </c>
      <c r="L411" s="36" t="s">
        <v>26</v>
      </c>
      <c r="M411" s="45">
        <v>12530.0</v>
      </c>
      <c r="N411" s="25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ht="18.75" customHeight="1">
      <c r="A412" s="24"/>
      <c r="B412" s="25"/>
      <c r="C412" s="25"/>
      <c r="D412" s="25"/>
      <c r="E412" s="25"/>
      <c r="F412" s="64" t="s">
        <v>118</v>
      </c>
      <c r="G412" s="83"/>
      <c r="H412" s="32"/>
      <c r="I412" s="32"/>
      <c r="J412" s="32"/>
      <c r="K412" s="35">
        <f t="shared" si="42"/>
        <v>0</v>
      </c>
      <c r="L412" s="48" t="s">
        <v>28</v>
      </c>
      <c r="M412" s="49">
        <f>2070+1210</f>
        <v>3280</v>
      </c>
      <c r="N412" s="25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ht="18.75" customHeight="1">
      <c r="A413" s="24"/>
      <c r="B413" s="25"/>
      <c r="C413" s="25"/>
      <c r="D413" s="25"/>
      <c r="E413" s="25"/>
      <c r="F413" s="31" t="s">
        <v>29</v>
      </c>
      <c r="G413" s="34"/>
      <c r="H413" s="29"/>
      <c r="I413" s="29"/>
      <c r="J413" s="29"/>
      <c r="K413" s="42">
        <v>1440.0</v>
      </c>
      <c r="L413" s="82" t="s">
        <v>30</v>
      </c>
      <c r="M413" s="52">
        <f>255</f>
        <v>255</v>
      </c>
      <c r="N413" s="25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ht="18.75" customHeight="1">
      <c r="A414" s="24"/>
      <c r="B414" s="25"/>
      <c r="C414" s="25"/>
      <c r="D414" s="25"/>
      <c r="E414" s="53"/>
      <c r="F414" s="64" t="s">
        <v>31</v>
      </c>
      <c r="G414" s="65"/>
      <c r="H414" s="32"/>
      <c r="I414" s="32"/>
      <c r="J414" s="32"/>
      <c r="K414" s="30">
        <v>0.0</v>
      </c>
      <c r="L414" s="51"/>
      <c r="M414" s="52"/>
      <c r="N414" s="5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ht="18.75" customHeight="1">
      <c r="A415" s="24"/>
      <c r="B415" s="25"/>
      <c r="C415" s="25"/>
      <c r="D415" s="25"/>
      <c r="E415" s="22">
        <f>N425</f>
        <v>100766</v>
      </c>
      <c r="F415" s="54" t="s">
        <v>33</v>
      </c>
      <c r="G415" s="55"/>
      <c r="H415" s="53"/>
      <c r="I415" s="29"/>
      <c r="J415" s="29"/>
      <c r="K415" s="56">
        <f>SUM(K407:K414)</f>
        <v>31340</v>
      </c>
      <c r="L415" s="41" t="s">
        <v>34</v>
      </c>
      <c r="M415" s="56">
        <f>SUM(M407:M414)</f>
        <v>20815</v>
      </c>
      <c r="N415" s="22">
        <f>E415+K415-M415</f>
        <v>111291</v>
      </c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ht="74.25" customHeight="1">
      <c r="A416" s="57"/>
      <c r="B416" s="53"/>
      <c r="C416" s="53"/>
      <c r="D416" s="53"/>
      <c r="E416" s="58" t="s">
        <v>35</v>
      </c>
      <c r="F416" s="59" t="s">
        <v>119</v>
      </c>
      <c r="G416" s="55"/>
      <c r="H416" s="55"/>
      <c r="I416" s="55"/>
      <c r="J416" s="55"/>
      <c r="K416" s="55"/>
      <c r="L416" s="55"/>
      <c r="M416" s="55"/>
      <c r="N416" s="5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ht="18.75" customHeight="1">
      <c r="A417" s="11">
        <v>1132.0</v>
      </c>
      <c r="B417" s="12">
        <v>45416.0</v>
      </c>
      <c r="C417" s="13"/>
      <c r="D417" s="14" t="s">
        <v>41</v>
      </c>
      <c r="E417" s="15" t="s">
        <v>15</v>
      </c>
      <c r="F417" s="16" t="s">
        <v>16</v>
      </c>
      <c r="G417" s="17">
        <v>200.0</v>
      </c>
      <c r="H417" s="18">
        <v>93.0</v>
      </c>
      <c r="I417" s="19"/>
      <c r="J417" s="19"/>
      <c r="K417" s="20">
        <f t="shared" ref="K417:K422" si="43">G417*H417</f>
        <v>18600</v>
      </c>
      <c r="L417" s="21" t="s">
        <v>17</v>
      </c>
      <c r="M417" s="20">
        <v>200.0</v>
      </c>
      <c r="N417" s="9" t="s">
        <v>13</v>
      </c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ht="18.75" customHeight="1">
      <c r="A418" s="24"/>
      <c r="B418" s="25"/>
      <c r="C418" s="25"/>
      <c r="D418" s="25"/>
      <c r="E418" s="25"/>
      <c r="F418" s="26" t="s">
        <v>18</v>
      </c>
      <c r="G418" s="27">
        <v>150.0</v>
      </c>
      <c r="H418" s="28">
        <v>57.0</v>
      </c>
      <c r="I418" s="29"/>
      <c r="J418" s="29"/>
      <c r="K418" s="30">
        <f t="shared" si="43"/>
        <v>8550</v>
      </c>
      <c r="L418" s="31" t="s">
        <v>19</v>
      </c>
      <c r="M418" s="30">
        <v>200.0</v>
      </c>
      <c r="N418" s="22">
        <f>K425-M425</f>
        <v>600</v>
      </c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ht="18.75" customHeight="1">
      <c r="A419" s="24"/>
      <c r="B419" s="25"/>
      <c r="C419" s="25"/>
      <c r="D419" s="25"/>
      <c r="E419" s="25"/>
      <c r="F419" s="39" t="s">
        <v>23</v>
      </c>
      <c r="G419" s="83">
        <v>100.0</v>
      </c>
      <c r="H419" s="40"/>
      <c r="I419" s="32"/>
      <c r="J419" s="32"/>
      <c r="K419" s="35">
        <f t="shared" si="43"/>
        <v>0</v>
      </c>
      <c r="L419" s="36" t="s">
        <v>21</v>
      </c>
      <c r="M419" s="37">
        <v>400.0</v>
      </c>
      <c r="N419" s="32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ht="18.75" customHeight="1">
      <c r="A420" s="24"/>
      <c r="B420" s="25"/>
      <c r="C420" s="25"/>
      <c r="D420" s="25"/>
      <c r="E420" s="25"/>
      <c r="F420" s="33" t="s">
        <v>20</v>
      </c>
      <c r="G420" s="27">
        <v>150.0</v>
      </c>
      <c r="H420" s="28">
        <v>3.0</v>
      </c>
      <c r="I420" s="29"/>
      <c r="J420" s="29"/>
      <c r="K420" s="30">
        <f t="shared" si="43"/>
        <v>450</v>
      </c>
      <c r="L420" s="41" t="s">
        <v>24</v>
      </c>
      <c r="M420" s="42">
        <v>3500.0</v>
      </c>
      <c r="N420" s="38" t="s">
        <v>22</v>
      </c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ht="18.75" customHeight="1">
      <c r="A421" s="24"/>
      <c r="B421" s="25"/>
      <c r="C421" s="25"/>
      <c r="D421" s="25"/>
      <c r="E421" s="25"/>
      <c r="F421" s="43" t="s">
        <v>25</v>
      </c>
      <c r="G421" s="44">
        <v>200.0</v>
      </c>
      <c r="H421" s="28"/>
      <c r="I421" s="32"/>
      <c r="J421" s="32"/>
      <c r="K421" s="35">
        <f t="shared" si="43"/>
        <v>0</v>
      </c>
      <c r="L421" s="36" t="s">
        <v>26</v>
      </c>
      <c r="M421" s="45">
        <v>10640.0</v>
      </c>
      <c r="N421" s="25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ht="18.75" customHeight="1">
      <c r="A422" s="24"/>
      <c r="B422" s="25"/>
      <c r="C422" s="25"/>
      <c r="D422" s="25"/>
      <c r="E422" s="25"/>
      <c r="F422" s="64" t="s">
        <v>118</v>
      </c>
      <c r="G422" s="83">
        <v>0.0</v>
      </c>
      <c r="H422" s="32"/>
      <c r="I422" s="32"/>
      <c r="J422" s="32"/>
      <c r="K422" s="35">
        <f t="shared" si="43"/>
        <v>0</v>
      </c>
      <c r="L422" s="48" t="s">
        <v>28</v>
      </c>
      <c r="M422" s="49">
        <f>2070+1210</f>
        <v>3280</v>
      </c>
      <c r="N422" s="25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ht="18.75" customHeight="1">
      <c r="A423" s="24"/>
      <c r="B423" s="25"/>
      <c r="C423" s="25"/>
      <c r="D423" s="25"/>
      <c r="E423" s="25"/>
      <c r="F423" s="31" t="s">
        <v>29</v>
      </c>
      <c r="G423" s="84"/>
      <c r="H423" s="29"/>
      <c r="I423" s="29"/>
      <c r="J423" s="29"/>
      <c r="K423" s="30">
        <v>0.0</v>
      </c>
      <c r="L423" s="82" t="s">
        <v>30</v>
      </c>
      <c r="M423" s="52">
        <f>1980+6800</f>
        <v>8780</v>
      </c>
      <c r="N423" s="25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ht="18.75" customHeight="1">
      <c r="A424" s="24"/>
      <c r="B424" s="25"/>
      <c r="C424" s="25"/>
      <c r="D424" s="25"/>
      <c r="E424" s="53"/>
      <c r="F424" s="64" t="s">
        <v>31</v>
      </c>
      <c r="G424" s="65"/>
      <c r="H424" s="32"/>
      <c r="I424" s="32"/>
      <c r="J424" s="32"/>
      <c r="K424" s="65"/>
      <c r="L424" s="51"/>
      <c r="M424" s="52"/>
      <c r="N424" s="5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ht="18.75" customHeight="1">
      <c r="A425" s="24"/>
      <c r="B425" s="25"/>
      <c r="C425" s="25"/>
      <c r="D425" s="25"/>
      <c r="E425" s="22">
        <f>N436</f>
        <v>100166</v>
      </c>
      <c r="F425" s="54" t="s">
        <v>33</v>
      </c>
      <c r="G425" s="55"/>
      <c r="H425" s="53"/>
      <c r="I425" s="29"/>
      <c r="J425" s="29"/>
      <c r="K425" s="56">
        <f>SUM(K417:K423)</f>
        <v>27600</v>
      </c>
      <c r="L425" s="41" t="s">
        <v>34</v>
      </c>
      <c r="M425" s="56">
        <f>SUM(M417:M424)</f>
        <v>27000</v>
      </c>
      <c r="N425" s="22">
        <f>E425+K425-M425</f>
        <v>100766</v>
      </c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ht="60.75" customHeight="1">
      <c r="A426" s="57"/>
      <c r="B426" s="53"/>
      <c r="C426" s="53"/>
      <c r="D426" s="53"/>
      <c r="E426" s="58" t="s">
        <v>35</v>
      </c>
      <c r="F426" s="59" t="s">
        <v>120</v>
      </c>
      <c r="G426" s="55"/>
      <c r="H426" s="55"/>
      <c r="I426" s="55"/>
      <c r="J426" s="55"/>
      <c r="K426" s="55"/>
      <c r="L426" s="55"/>
      <c r="M426" s="55"/>
      <c r="N426" s="5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ht="18.75" customHeight="1">
      <c r="A427" s="11">
        <v>1131.0</v>
      </c>
      <c r="B427" s="12">
        <v>45409.0</v>
      </c>
      <c r="C427" s="13"/>
      <c r="D427" s="14" t="s">
        <v>121</v>
      </c>
      <c r="E427" s="15" t="s">
        <v>15</v>
      </c>
      <c r="F427" s="16" t="s">
        <v>16</v>
      </c>
      <c r="G427" s="17">
        <v>1500.0</v>
      </c>
      <c r="H427" s="18">
        <v>40.0</v>
      </c>
      <c r="I427" s="19"/>
      <c r="J427" s="19"/>
      <c r="K427" s="20">
        <f t="shared" ref="K427:K433" si="44">G427*H427</f>
        <v>60000</v>
      </c>
      <c r="L427" s="21" t="s">
        <v>17</v>
      </c>
      <c r="M427" s="20">
        <v>200.0</v>
      </c>
      <c r="N427" s="9" t="s">
        <v>13</v>
      </c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ht="18.75" customHeight="1">
      <c r="A428" s="24"/>
      <c r="B428" s="25"/>
      <c r="C428" s="25"/>
      <c r="D428" s="25"/>
      <c r="E428" s="25"/>
      <c r="F428" s="26" t="s">
        <v>18</v>
      </c>
      <c r="G428" s="27">
        <v>1500.0</v>
      </c>
      <c r="H428" s="28">
        <v>27.0</v>
      </c>
      <c r="I428" s="29"/>
      <c r="J428" s="29"/>
      <c r="K428" s="30">
        <f t="shared" si="44"/>
        <v>40500</v>
      </c>
      <c r="L428" s="31" t="s">
        <v>19</v>
      </c>
      <c r="M428" s="30">
        <v>200.0</v>
      </c>
      <c r="N428" s="22">
        <f>K436-M436</f>
        <v>-3000</v>
      </c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ht="18.75" customHeight="1">
      <c r="A429" s="24"/>
      <c r="B429" s="25"/>
      <c r="C429" s="25"/>
      <c r="D429" s="25"/>
      <c r="E429" s="25"/>
      <c r="F429" s="85" t="s">
        <v>122</v>
      </c>
      <c r="G429" s="34">
        <v>1100.0</v>
      </c>
      <c r="H429" s="40">
        <v>3.0</v>
      </c>
      <c r="I429" s="32"/>
      <c r="J429" s="32"/>
      <c r="K429" s="30">
        <f t="shared" si="44"/>
        <v>3300</v>
      </c>
      <c r="L429" s="36"/>
      <c r="M429" s="37"/>
      <c r="N429" s="32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ht="18.75" customHeight="1">
      <c r="A430" s="24"/>
      <c r="B430" s="25"/>
      <c r="C430" s="25"/>
      <c r="D430" s="25"/>
      <c r="E430" s="25"/>
      <c r="F430" s="39" t="s">
        <v>23</v>
      </c>
      <c r="G430" s="83">
        <v>100.0</v>
      </c>
      <c r="H430" s="40"/>
      <c r="I430" s="32"/>
      <c r="J430" s="32"/>
      <c r="K430" s="35">
        <f t="shared" si="44"/>
        <v>0</v>
      </c>
      <c r="L430" s="36" t="s">
        <v>21</v>
      </c>
      <c r="M430" s="37"/>
      <c r="N430" s="32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ht="18.75" customHeight="1">
      <c r="A431" s="24"/>
      <c r="B431" s="25"/>
      <c r="C431" s="25"/>
      <c r="D431" s="25"/>
      <c r="E431" s="25"/>
      <c r="F431" s="33" t="s">
        <v>20</v>
      </c>
      <c r="G431" s="27">
        <v>150.0</v>
      </c>
      <c r="H431" s="28"/>
      <c r="I431" s="29"/>
      <c r="J431" s="29"/>
      <c r="K431" s="30">
        <f t="shared" si="44"/>
        <v>0</v>
      </c>
      <c r="L431" s="41" t="s">
        <v>24</v>
      </c>
      <c r="M431" s="42"/>
      <c r="N431" s="38" t="s">
        <v>22</v>
      </c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ht="18.75" customHeight="1">
      <c r="A432" s="24"/>
      <c r="B432" s="25"/>
      <c r="C432" s="25"/>
      <c r="D432" s="25"/>
      <c r="E432" s="25"/>
      <c r="F432" s="43" t="s">
        <v>25</v>
      </c>
      <c r="G432" s="44">
        <v>200.0</v>
      </c>
      <c r="H432" s="28"/>
      <c r="I432" s="32"/>
      <c r="J432" s="32"/>
      <c r="K432" s="35">
        <f t="shared" si="44"/>
        <v>0</v>
      </c>
      <c r="L432" s="36" t="s">
        <v>26</v>
      </c>
      <c r="M432" s="45"/>
      <c r="N432" s="25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ht="18.75" customHeight="1">
      <c r="A433" s="24"/>
      <c r="B433" s="25"/>
      <c r="C433" s="25"/>
      <c r="D433" s="25"/>
      <c r="E433" s="25"/>
      <c r="F433" s="64" t="s">
        <v>118</v>
      </c>
      <c r="G433" s="83">
        <v>0.0</v>
      </c>
      <c r="H433" s="32"/>
      <c r="I433" s="32"/>
      <c r="J433" s="32"/>
      <c r="K433" s="35">
        <f t="shared" si="44"/>
        <v>0</v>
      </c>
      <c r="L433" s="48" t="s">
        <v>28</v>
      </c>
      <c r="M433" s="49">
        <f>26000</f>
        <v>26000</v>
      </c>
      <c r="N433" s="25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ht="18.75" customHeight="1">
      <c r="A434" s="24"/>
      <c r="B434" s="25"/>
      <c r="C434" s="25"/>
      <c r="D434" s="25"/>
      <c r="E434" s="25"/>
      <c r="F434" s="31" t="s">
        <v>29</v>
      </c>
      <c r="G434" s="84"/>
      <c r="H434" s="29"/>
      <c r="I434" s="29"/>
      <c r="J434" s="29"/>
      <c r="K434" s="30">
        <v>0.0</v>
      </c>
      <c r="L434" s="82" t="s">
        <v>30</v>
      </c>
      <c r="M434" s="52">
        <f>77000</f>
        <v>77000</v>
      </c>
      <c r="N434" s="25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ht="18.75" customHeight="1">
      <c r="A435" s="24"/>
      <c r="B435" s="25"/>
      <c r="C435" s="25"/>
      <c r="D435" s="25"/>
      <c r="E435" s="53"/>
      <c r="F435" s="64" t="s">
        <v>31</v>
      </c>
      <c r="G435" s="65"/>
      <c r="H435" s="32"/>
      <c r="I435" s="32"/>
      <c r="J435" s="32"/>
      <c r="K435" s="65"/>
      <c r="L435" s="51" t="s">
        <v>32</v>
      </c>
      <c r="M435" s="52">
        <v>3400.0</v>
      </c>
      <c r="N435" s="5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ht="18.75" customHeight="1">
      <c r="A436" s="24"/>
      <c r="B436" s="25"/>
      <c r="C436" s="25"/>
      <c r="D436" s="25"/>
      <c r="E436" s="22">
        <f>N446</f>
        <v>103166</v>
      </c>
      <c r="F436" s="54" t="s">
        <v>33</v>
      </c>
      <c r="G436" s="55"/>
      <c r="H436" s="53"/>
      <c r="I436" s="29"/>
      <c r="J436" s="29"/>
      <c r="K436" s="56">
        <f>SUM(K427:K434)</f>
        <v>103800</v>
      </c>
      <c r="L436" s="41" t="s">
        <v>34</v>
      </c>
      <c r="M436" s="56">
        <f>SUM(M427:M435)</f>
        <v>106800</v>
      </c>
      <c r="N436" s="22">
        <f>E436+K436-M436</f>
        <v>100166</v>
      </c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ht="78.75" customHeight="1">
      <c r="A437" s="57"/>
      <c r="B437" s="53"/>
      <c r="C437" s="53"/>
      <c r="D437" s="53"/>
      <c r="E437" s="58" t="s">
        <v>35</v>
      </c>
      <c r="F437" s="59" t="s">
        <v>123</v>
      </c>
      <c r="G437" s="55"/>
      <c r="H437" s="55"/>
      <c r="I437" s="55"/>
      <c r="J437" s="55"/>
      <c r="K437" s="55"/>
      <c r="L437" s="55"/>
      <c r="M437" s="55"/>
      <c r="N437" s="5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ht="18.75" customHeight="1">
      <c r="A438" s="11">
        <v>1130.0</v>
      </c>
      <c r="B438" s="12">
        <v>45402.0</v>
      </c>
      <c r="C438" s="13"/>
      <c r="D438" s="14" t="s">
        <v>58</v>
      </c>
      <c r="E438" s="15" t="s">
        <v>15</v>
      </c>
      <c r="F438" s="16" t="s">
        <v>16</v>
      </c>
      <c r="G438" s="86">
        <v>200.0</v>
      </c>
      <c r="H438" s="18">
        <v>88.0</v>
      </c>
      <c r="I438" s="19"/>
      <c r="J438" s="19"/>
      <c r="K438" s="20">
        <f t="shared" ref="K438:K443" si="45">G438*H438</f>
        <v>17600</v>
      </c>
      <c r="L438" s="21" t="s">
        <v>17</v>
      </c>
      <c r="M438" s="20">
        <v>200.0</v>
      </c>
      <c r="N438" s="9" t="s">
        <v>13</v>
      </c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ht="18.75" customHeight="1">
      <c r="A439" s="24"/>
      <c r="B439" s="25"/>
      <c r="C439" s="25"/>
      <c r="D439" s="25"/>
      <c r="E439" s="25"/>
      <c r="F439" s="26" t="s">
        <v>18</v>
      </c>
      <c r="G439" s="44">
        <v>150.0</v>
      </c>
      <c r="H439" s="28">
        <v>38.0</v>
      </c>
      <c r="I439" s="29"/>
      <c r="J439" s="29"/>
      <c r="K439" s="30">
        <f t="shared" si="45"/>
        <v>5700</v>
      </c>
      <c r="L439" s="31" t="s">
        <v>19</v>
      </c>
      <c r="M439" s="30">
        <v>200.0</v>
      </c>
      <c r="N439" s="22">
        <f>K446-M446</f>
        <v>7395</v>
      </c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ht="18.75" customHeight="1">
      <c r="A440" s="24"/>
      <c r="B440" s="25"/>
      <c r="C440" s="25"/>
      <c r="D440" s="25"/>
      <c r="E440" s="25"/>
      <c r="F440" s="39" t="s">
        <v>23</v>
      </c>
      <c r="G440" s="83">
        <v>100.0</v>
      </c>
      <c r="H440" s="40"/>
      <c r="I440" s="32"/>
      <c r="J440" s="32"/>
      <c r="K440" s="35">
        <f t="shared" si="45"/>
        <v>0</v>
      </c>
      <c r="L440" s="36" t="s">
        <v>21</v>
      </c>
      <c r="M440" s="37">
        <v>350.0</v>
      </c>
      <c r="N440" s="32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ht="18.75" customHeight="1">
      <c r="A441" s="24"/>
      <c r="B441" s="25"/>
      <c r="C441" s="25"/>
      <c r="D441" s="25"/>
      <c r="E441" s="25"/>
      <c r="F441" s="33" t="s">
        <v>20</v>
      </c>
      <c r="G441" s="27">
        <v>150.0</v>
      </c>
      <c r="H441" s="28"/>
      <c r="I441" s="29"/>
      <c r="J441" s="29"/>
      <c r="K441" s="30">
        <f t="shared" si="45"/>
        <v>0</v>
      </c>
      <c r="L441" s="41" t="s">
        <v>24</v>
      </c>
      <c r="M441" s="42">
        <v>3500.0</v>
      </c>
      <c r="N441" s="38" t="s">
        <v>22</v>
      </c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ht="18.75" customHeight="1">
      <c r="A442" s="24"/>
      <c r="B442" s="25"/>
      <c r="C442" s="25"/>
      <c r="D442" s="25"/>
      <c r="E442" s="25"/>
      <c r="F442" s="43" t="s">
        <v>25</v>
      </c>
      <c r="G442" s="44">
        <v>200.0</v>
      </c>
      <c r="H442" s="28"/>
      <c r="I442" s="32"/>
      <c r="J442" s="32"/>
      <c r="K442" s="35">
        <f t="shared" si="45"/>
        <v>0</v>
      </c>
      <c r="L442" s="36" t="s">
        <v>26</v>
      </c>
      <c r="M442" s="45">
        <v>7630.0</v>
      </c>
      <c r="N442" s="25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ht="18.75" customHeight="1">
      <c r="A443" s="24"/>
      <c r="B443" s="25"/>
      <c r="C443" s="25"/>
      <c r="D443" s="25"/>
      <c r="E443" s="25"/>
      <c r="F443" s="64" t="s">
        <v>118</v>
      </c>
      <c r="G443" s="83">
        <v>0.0</v>
      </c>
      <c r="H443" s="32"/>
      <c r="I443" s="32"/>
      <c r="J443" s="32"/>
      <c r="K443" s="35">
        <f t="shared" si="45"/>
        <v>0</v>
      </c>
      <c r="L443" s="48" t="s">
        <v>28</v>
      </c>
      <c r="M443" s="49">
        <f>1485+1210+130</f>
        <v>2825</v>
      </c>
      <c r="N443" s="25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ht="18.75" customHeight="1">
      <c r="A444" s="24"/>
      <c r="B444" s="25"/>
      <c r="C444" s="25"/>
      <c r="D444" s="25"/>
      <c r="E444" s="25"/>
      <c r="F444" s="31" t="s">
        <v>29</v>
      </c>
      <c r="G444" s="84"/>
      <c r="H444" s="29"/>
      <c r="I444" s="29"/>
      <c r="J444" s="29"/>
      <c r="K444" s="30">
        <v>0.0</v>
      </c>
      <c r="L444" s="82" t="s">
        <v>30</v>
      </c>
      <c r="M444" s="52">
        <f>1200</f>
        <v>1200</v>
      </c>
      <c r="N444" s="25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ht="18.75" customHeight="1">
      <c r="A445" s="24"/>
      <c r="B445" s="25"/>
      <c r="C445" s="25"/>
      <c r="D445" s="25"/>
      <c r="E445" s="53"/>
      <c r="F445" s="64" t="s">
        <v>31</v>
      </c>
      <c r="G445" s="65"/>
      <c r="H445" s="32"/>
      <c r="I445" s="32"/>
      <c r="J445" s="32"/>
      <c r="K445" s="65"/>
      <c r="L445" s="82"/>
      <c r="M445" s="52"/>
      <c r="N445" s="5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ht="18.75" customHeight="1">
      <c r="A446" s="24"/>
      <c r="B446" s="25"/>
      <c r="C446" s="25"/>
      <c r="D446" s="25"/>
      <c r="E446" s="22">
        <f>N456</f>
        <v>95771</v>
      </c>
      <c r="F446" s="54" t="s">
        <v>33</v>
      </c>
      <c r="G446" s="55"/>
      <c r="H446" s="53"/>
      <c r="I446" s="29"/>
      <c r="J446" s="29"/>
      <c r="K446" s="56">
        <f>SUM(K438:K444)</f>
        <v>23300</v>
      </c>
      <c r="L446" s="41" t="s">
        <v>34</v>
      </c>
      <c r="M446" s="56">
        <f>SUM(M438:M445)</f>
        <v>15905</v>
      </c>
      <c r="N446" s="22">
        <f>E446+K446-M446</f>
        <v>103166</v>
      </c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ht="75.0" customHeight="1">
      <c r="A447" s="57"/>
      <c r="B447" s="53"/>
      <c r="C447" s="53"/>
      <c r="D447" s="53"/>
      <c r="E447" s="58" t="s">
        <v>35</v>
      </c>
      <c r="F447" s="59" t="s">
        <v>124</v>
      </c>
      <c r="G447" s="55"/>
      <c r="H447" s="55"/>
      <c r="I447" s="55"/>
      <c r="J447" s="55"/>
      <c r="K447" s="55"/>
      <c r="L447" s="55"/>
      <c r="M447" s="55"/>
      <c r="N447" s="5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ht="18.75" customHeight="1">
      <c r="A448" s="11">
        <v>1129.0</v>
      </c>
      <c r="B448" s="12">
        <v>45395.0</v>
      </c>
      <c r="C448" s="13"/>
      <c r="D448" s="14" t="s">
        <v>85</v>
      </c>
      <c r="E448" s="15" t="s">
        <v>15</v>
      </c>
      <c r="F448" s="16" t="s">
        <v>16</v>
      </c>
      <c r="G448" s="86">
        <v>200.0</v>
      </c>
      <c r="H448" s="18">
        <v>102.0</v>
      </c>
      <c r="I448" s="19"/>
      <c r="J448" s="19"/>
      <c r="K448" s="20">
        <f t="shared" ref="K448:K453" si="46">G448*H448</f>
        <v>20400</v>
      </c>
      <c r="L448" s="21" t="s">
        <v>17</v>
      </c>
      <c r="M448" s="20">
        <v>200.0</v>
      </c>
      <c r="N448" s="9" t="s">
        <v>13</v>
      </c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ht="18.75" customHeight="1">
      <c r="A449" s="24"/>
      <c r="B449" s="25"/>
      <c r="C449" s="25"/>
      <c r="D449" s="25"/>
      <c r="E449" s="25"/>
      <c r="F449" s="26" t="s">
        <v>18</v>
      </c>
      <c r="G449" s="44">
        <v>150.0</v>
      </c>
      <c r="H449" s="28">
        <v>48.0</v>
      </c>
      <c r="I449" s="29"/>
      <c r="J449" s="29"/>
      <c r="K449" s="30">
        <f t="shared" si="46"/>
        <v>7200</v>
      </c>
      <c r="L449" s="31" t="s">
        <v>19</v>
      </c>
      <c r="M449" s="30">
        <v>200.0</v>
      </c>
      <c r="N449" s="22">
        <f>K456-M456</f>
        <v>9265</v>
      </c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ht="18.75" customHeight="1">
      <c r="A450" s="24"/>
      <c r="B450" s="25"/>
      <c r="C450" s="25"/>
      <c r="D450" s="25"/>
      <c r="E450" s="25"/>
      <c r="F450" s="39" t="s">
        <v>23</v>
      </c>
      <c r="G450" s="83">
        <v>100.0</v>
      </c>
      <c r="H450" s="40"/>
      <c r="I450" s="32"/>
      <c r="J450" s="32"/>
      <c r="K450" s="35">
        <f t="shared" si="46"/>
        <v>0</v>
      </c>
      <c r="L450" s="36" t="s">
        <v>21</v>
      </c>
      <c r="M450" s="37">
        <v>400.0</v>
      </c>
      <c r="N450" s="32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ht="18.75" customHeight="1">
      <c r="A451" s="24"/>
      <c r="B451" s="25"/>
      <c r="C451" s="25"/>
      <c r="D451" s="25"/>
      <c r="E451" s="25"/>
      <c r="F451" s="33" t="s">
        <v>20</v>
      </c>
      <c r="G451" s="27">
        <v>150.0</v>
      </c>
      <c r="H451" s="28">
        <v>2.0</v>
      </c>
      <c r="I451" s="29"/>
      <c r="J451" s="29"/>
      <c r="K451" s="30">
        <f t="shared" si="46"/>
        <v>300</v>
      </c>
      <c r="L451" s="41" t="s">
        <v>24</v>
      </c>
      <c r="M451" s="42">
        <v>3500.0</v>
      </c>
      <c r="N451" s="38" t="s">
        <v>22</v>
      </c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ht="18.75" customHeight="1">
      <c r="A452" s="24"/>
      <c r="B452" s="25"/>
      <c r="C452" s="25"/>
      <c r="D452" s="25"/>
      <c r="E452" s="25"/>
      <c r="F452" s="43" t="s">
        <v>25</v>
      </c>
      <c r="G452" s="44">
        <v>200.0</v>
      </c>
      <c r="H452" s="28"/>
      <c r="I452" s="32"/>
      <c r="J452" s="32"/>
      <c r="K452" s="35">
        <f t="shared" si="46"/>
        <v>0</v>
      </c>
      <c r="L452" s="36" t="s">
        <v>26</v>
      </c>
      <c r="M452" s="45">
        <v>10650.0</v>
      </c>
      <c r="N452" s="25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ht="18.75" customHeight="1">
      <c r="A453" s="24"/>
      <c r="B453" s="25"/>
      <c r="C453" s="25"/>
      <c r="D453" s="25"/>
      <c r="E453" s="25"/>
      <c r="F453" s="64" t="s">
        <v>118</v>
      </c>
      <c r="G453" s="83">
        <v>0.0</v>
      </c>
      <c r="H453" s="32"/>
      <c r="I453" s="32"/>
      <c r="J453" s="32"/>
      <c r="K453" s="35">
        <f t="shared" si="46"/>
        <v>0</v>
      </c>
      <c r="L453" s="48" t="s">
        <v>28</v>
      </c>
      <c r="M453" s="49">
        <f>1935+520</f>
        <v>2455</v>
      </c>
      <c r="N453" s="25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ht="18.75" customHeight="1">
      <c r="A454" s="24"/>
      <c r="B454" s="25"/>
      <c r="C454" s="25"/>
      <c r="D454" s="25"/>
      <c r="E454" s="25"/>
      <c r="F454" s="31" t="s">
        <v>29</v>
      </c>
      <c r="G454" s="84"/>
      <c r="H454" s="29"/>
      <c r="I454" s="29"/>
      <c r="J454" s="29"/>
      <c r="K454" s="30">
        <v>0.0</v>
      </c>
      <c r="L454" s="82" t="s">
        <v>30</v>
      </c>
      <c r="M454" s="52">
        <f>1230</f>
        <v>1230</v>
      </c>
      <c r="N454" s="25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ht="18.75" customHeight="1">
      <c r="A455" s="24"/>
      <c r="B455" s="25"/>
      <c r="C455" s="25"/>
      <c r="D455" s="25"/>
      <c r="E455" s="53"/>
      <c r="F455" s="64" t="s">
        <v>31</v>
      </c>
      <c r="G455" s="65"/>
      <c r="H455" s="32"/>
      <c r="I455" s="32"/>
      <c r="J455" s="32"/>
      <c r="K455" s="65"/>
      <c r="L455" s="82"/>
      <c r="M455" s="52"/>
      <c r="N455" s="5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ht="18.75" customHeight="1">
      <c r="A456" s="24"/>
      <c r="B456" s="25"/>
      <c r="C456" s="25"/>
      <c r="D456" s="25"/>
      <c r="E456" s="22">
        <f>N466</f>
        <v>86506</v>
      </c>
      <c r="F456" s="54" t="s">
        <v>33</v>
      </c>
      <c r="G456" s="55"/>
      <c r="H456" s="53"/>
      <c r="I456" s="29"/>
      <c r="J456" s="29"/>
      <c r="K456" s="56">
        <f>SUM(K448:K454)</f>
        <v>27900</v>
      </c>
      <c r="L456" s="41" t="s">
        <v>34</v>
      </c>
      <c r="M456" s="56">
        <f>SUM(M448:M455)</f>
        <v>18635</v>
      </c>
      <c r="N456" s="22">
        <f>E456+K456-M456</f>
        <v>95771</v>
      </c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ht="66.0" customHeight="1">
      <c r="A457" s="57"/>
      <c r="B457" s="53"/>
      <c r="C457" s="53"/>
      <c r="D457" s="53"/>
      <c r="E457" s="58" t="s">
        <v>35</v>
      </c>
      <c r="F457" s="59" t="s">
        <v>125</v>
      </c>
      <c r="G457" s="55"/>
      <c r="H457" s="55"/>
      <c r="I457" s="55"/>
      <c r="J457" s="55"/>
      <c r="K457" s="55"/>
      <c r="L457" s="55"/>
      <c r="M457" s="55"/>
      <c r="N457" s="5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ht="18.75" customHeight="1">
      <c r="A458" s="11">
        <v>1128.0</v>
      </c>
      <c r="B458" s="12">
        <v>45388.0</v>
      </c>
      <c r="C458" s="13"/>
      <c r="D458" s="14" t="s">
        <v>48</v>
      </c>
      <c r="E458" s="15" t="s">
        <v>15</v>
      </c>
      <c r="F458" s="16" t="s">
        <v>16</v>
      </c>
      <c r="G458" s="86">
        <v>200.0</v>
      </c>
      <c r="H458" s="18">
        <v>115.0</v>
      </c>
      <c r="I458" s="19"/>
      <c r="J458" s="19"/>
      <c r="K458" s="20">
        <f t="shared" ref="K458:K463" si="47">G458*H458</f>
        <v>23000</v>
      </c>
      <c r="L458" s="21" t="s">
        <v>17</v>
      </c>
      <c r="M458" s="20">
        <v>200.0</v>
      </c>
      <c r="N458" s="9" t="s">
        <v>13</v>
      </c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ht="18.75" customHeight="1">
      <c r="A459" s="24"/>
      <c r="B459" s="25"/>
      <c r="C459" s="25"/>
      <c r="D459" s="25"/>
      <c r="E459" s="25"/>
      <c r="F459" s="26" t="s">
        <v>18</v>
      </c>
      <c r="G459" s="44">
        <v>150.0</v>
      </c>
      <c r="H459" s="28">
        <v>55.0</v>
      </c>
      <c r="I459" s="29"/>
      <c r="J459" s="29"/>
      <c r="K459" s="30">
        <f t="shared" si="47"/>
        <v>8250</v>
      </c>
      <c r="L459" s="31" t="s">
        <v>19</v>
      </c>
      <c r="M459" s="30">
        <v>200.0</v>
      </c>
      <c r="N459" s="22">
        <f>K466-M466</f>
        <v>9870</v>
      </c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ht="18.75" customHeight="1">
      <c r="A460" s="24"/>
      <c r="B460" s="25"/>
      <c r="C460" s="25"/>
      <c r="D460" s="25"/>
      <c r="E460" s="25"/>
      <c r="F460" s="39" t="s">
        <v>23</v>
      </c>
      <c r="G460" s="83">
        <v>100.0</v>
      </c>
      <c r="H460" s="40"/>
      <c r="I460" s="32"/>
      <c r="J460" s="32"/>
      <c r="K460" s="35">
        <f t="shared" si="47"/>
        <v>0</v>
      </c>
      <c r="L460" s="36" t="s">
        <v>21</v>
      </c>
      <c r="M460" s="37">
        <v>400.0</v>
      </c>
      <c r="N460" s="32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ht="18.75" customHeight="1">
      <c r="A461" s="24"/>
      <c r="B461" s="25"/>
      <c r="C461" s="25"/>
      <c r="D461" s="25"/>
      <c r="E461" s="25"/>
      <c r="F461" s="33" t="s">
        <v>20</v>
      </c>
      <c r="G461" s="27">
        <v>150.0</v>
      </c>
      <c r="H461" s="28"/>
      <c r="I461" s="29"/>
      <c r="J461" s="29"/>
      <c r="K461" s="30">
        <f t="shared" si="47"/>
        <v>0</v>
      </c>
      <c r="L461" s="41" t="s">
        <v>24</v>
      </c>
      <c r="M461" s="42">
        <v>3500.0</v>
      </c>
      <c r="N461" s="38" t="s">
        <v>22</v>
      </c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ht="18.75" customHeight="1">
      <c r="A462" s="24"/>
      <c r="B462" s="25"/>
      <c r="C462" s="25"/>
      <c r="D462" s="25"/>
      <c r="E462" s="25"/>
      <c r="F462" s="43" t="s">
        <v>25</v>
      </c>
      <c r="G462" s="44">
        <v>200.0</v>
      </c>
      <c r="H462" s="28">
        <v>1.0</v>
      </c>
      <c r="I462" s="32"/>
      <c r="J462" s="32"/>
      <c r="K462" s="35">
        <f t="shared" si="47"/>
        <v>200</v>
      </c>
      <c r="L462" s="36" t="s">
        <v>26</v>
      </c>
      <c r="M462" s="45">
        <v>11420.0</v>
      </c>
      <c r="N462" s="25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ht="18.75" customHeight="1">
      <c r="A463" s="24"/>
      <c r="B463" s="25"/>
      <c r="C463" s="25"/>
      <c r="D463" s="25"/>
      <c r="E463" s="25"/>
      <c r="F463" s="64" t="s">
        <v>118</v>
      </c>
      <c r="G463" s="83">
        <v>0.0</v>
      </c>
      <c r="H463" s="32"/>
      <c r="I463" s="32"/>
      <c r="J463" s="32"/>
      <c r="K463" s="35">
        <f t="shared" si="47"/>
        <v>0</v>
      </c>
      <c r="L463" s="48" t="s">
        <v>28</v>
      </c>
      <c r="M463" s="49">
        <f>2115+565</f>
        <v>2680</v>
      </c>
      <c r="N463" s="25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ht="18.75" customHeight="1">
      <c r="A464" s="24"/>
      <c r="B464" s="25"/>
      <c r="C464" s="25"/>
      <c r="D464" s="25"/>
      <c r="E464" s="25"/>
      <c r="F464" s="31" t="s">
        <v>29</v>
      </c>
      <c r="G464" s="84"/>
      <c r="H464" s="29"/>
      <c r="I464" s="29"/>
      <c r="J464" s="29"/>
      <c r="K464" s="30">
        <v>0.0</v>
      </c>
      <c r="L464" s="82" t="s">
        <v>30</v>
      </c>
      <c r="M464" s="52">
        <f>1980+1200</f>
        <v>3180</v>
      </c>
      <c r="N464" s="25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ht="18.75" customHeight="1">
      <c r="A465" s="24"/>
      <c r="B465" s="25"/>
      <c r="C465" s="25"/>
      <c r="D465" s="25"/>
      <c r="E465" s="53"/>
      <c r="F465" s="64" t="s">
        <v>31</v>
      </c>
      <c r="G465" s="65"/>
      <c r="H465" s="32"/>
      <c r="I465" s="32"/>
      <c r="J465" s="32"/>
      <c r="K465" s="65"/>
      <c r="L465" s="82"/>
      <c r="M465" s="52"/>
      <c r="N465" s="5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ht="18.75" customHeight="1">
      <c r="A466" s="24"/>
      <c r="B466" s="25"/>
      <c r="C466" s="25"/>
      <c r="D466" s="25"/>
      <c r="E466" s="22">
        <f>N476</f>
        <v>76636</v>
      </c>
      <c r="F466" s="54" t="s">
        <v>33</v>
      </c>
      <c r="G466" s="55"/>
      <c r="H466" s="53"/>
      <c r="I466" s="29"/>
      <c r="J466" s="29"/>
      <c r="K466" s="56">
        <f>SUM(K458:K464)</f>
        <v>31450</v>
      </c>
      <c r="L466" s="41" t="s">
        <v>34</v>
      </c>
      <c r="M466" s="56">
        <f>SUM(M458:M465)</f>
        <v>21580</v>
      </c>
      <c r="N466" s="22">
        <f>E466+K466-M466</f>
        <v>86506</v>
      </c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ht="57.75" customHeight="1">
      <c r="A467" s="57"/>
      <c r="B467" s="53"/>
      <c r="C467" s="53"/>
      <c r="D467" s="53"/>
      <c r="E467" s="58" t="s">
        <v>35</v>
      </c>
      <c r="F467" s="59" t="s">
        <v>126</v>
      </c>
      <c r="G467" s="55"/>
      <c r="H467" s="55"/>
      <c r="I467" s="55"/>
      <c r="J467" s="55"/>
      <c r="K467" s="55"/>
      <c r="L467" s="55"/>
      <c r="M467" s="55"/>
      <c r="N467" s="5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ht="18.75" customHeight="1">
      <c r="A468" s="11">
        <v>1127.0</v>
      </c>
      <c r="B468" s="12">
        <v>45381.0</v>
      </c>
      <c r="C468" s="13"/>
      <c r="D468" s="14" t="s">
        <v>41</v>
      </c>
      <c r="E468" s="15" t="s">
        <v>15</v>
      </c>
      <c r="F468" s="16" t="s">
        <v>16</v>
      </c>
      <c r="G468" s="86">
        <v>200.0</v>
      </c>
      <c r="H468" s="18">
        <v>108.0</v>
      </c>
      <c r="I468" s="19"/>
      <c r="J468" s="19"/>
      <c r="K468" s="20">
        <f t="shared" ref="K468:K473" si="48">G468*H468</f>
        <v>21600</v>
      </c>
      <c r="L468" s="21" t="s">
        <v>17</v>
      </c>
      <c r="M468" s="20">
        <v>200.0</v>
      </c>
      <c r="N468" s="9" t="s">
        <v>13</v>
      </c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ht="18.75" customHeight="1">
      <c r="A469" s="24"/>
      <c r="B469" s="25"/>
      <c r="C469" s="25"/>
      <c r="D469" s="25"/>
      <c r="E469" s="25"/>
      <c r="F469" s="26" t="s">
        <v>18</v>
      </c>
      <c r="G469" s="44">
        <v>150.0</v>
      </c>
      <c r="H469" s="28">
        <v>54.0</v>
      </c>
      <c r="I469" s="29"/>
      <c r="J469" s="29"/>
      <c r="K469" s="30">
        <f t="shared" si="48"/>
        <v>8100</v>
      </c>
      <c r="L469" s="31" t="s">
        <v>19</v>
      </c>
      <c r="M469" s="30">
        <v>200.0</v>
      </c>
      <c r="N469" s="22">
        <f>K476-M476</f>
        <v>14410</v>
      </c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ht="18.75" customHeight="1">
      <c r="A470" s="24"/>
      <c r="B470" s="25"/>
      <c r="C470" s="25"/>
      <c r="D470" s="25"/>
      <c r="E470" s="25"/>
      <c r="F470" s="39" t="s">
        <v>23</v>
      </c>
      <c r="G470" s="83">
        <v>100.0</v>
      </c>
      <c r="H470" s="40">
        <v>1.0</v>
      </c>
      <c r="I470" s="32"/>
      <c r="J470" s="32"/>
      <c r="K470" s="35">
        <f t="shared" si="48"/>
        <v>100</v>
      </c>
      <c r="L470" s="36" t="s">
        <v>21</v>
      </c>
      <c r="M470" s="37">
        <v>350.0</v>
      </c>
      <c r="N470" s="32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ht="18.75" customHeight="1">
      <c r="A471" s="24"/>
      <c r="B471" s="25"/>
      <c r="C471" s="25"/>
      <c r="D471" s="25"/>
      <c r="E471" s="25"/>
      <c r="F471" s="33" t="s">
        <v>20</v>
      </c>
      <c r="G471" s="27">
        <v>150.0</v>
      </c>
      <c r="H471" s="28">
        <v>1.0</v>
      </c>
      <c r="I471" s="29"/>
      <c r="J471" s="29"/>
      <c r="K471" s="30">
        <f t="shared" si="48"/>
        <v>150</v>
      </c>
      <c r="L471" s="41" t="s">
        <v>24</v>
      </c>
      <c r="M471" s="42">
        <v>4000.0</v>
      </c>
      <c r="N471" s="38" t="s">
        <v>22</v>
      </c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ht="18.75" customHeight="1">
      <c r="A472" s="24"/>
      <c r="B472" s="25"/>
      <c r="C472" s="25"/>
      <c r="D472" s="25"/>
      <c r="E472" s="25"/>
      <c r="F472" s="43" t="s">
        <v>25</v>
      </c>
      <c r="G472" s="44">
        <v>200.0</v>
      </c>
      <c r="H472" s="28"/>
      <c r="I472" s="32"/>
      <c r="J472" s="32"/>
      <c r="K472" s="35">
        <f t="shared" si="48"/>
        <v>0</v>
      </c>
      <c r="L472" s="36" t="s">
        <v>26</v>
      </c>
      <c r="M472" s="45">
        <v>7820.0</v>
      </c>
      <c r="N472" s="25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ht="18.75" customHeight="1">
      <c r="A473" s="24"/>
      <c r="B473" s="25"/>
      <c r="C473" s="25"/>
      <c r="D473" s="25"/>
      <c r="E473" s="25"/>
      <c r="F473" s="64" t="s">
        <v>118</v>
      </c>
      <c r="G473" s="83">
        <v>0.0</v>
      </c>
      <c r="H473" s="32"/>
      <c r="I473" s="32"/>
      <c r="J473" s="32"/>
      <c r="K473" s="35">
        <f t="shared" si="48"/>
        <v>0</v>
      </c>
      <c r="L473" s="48" t="s">
        <v>28</v>
      </c>
      <c r="M473" s="49">
        <f>1080+690</f>
        <v>1770</v>
      </c>
      <c r="N473" s="25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ht="18.75" customHeight="1">
      <c r="A474" s="24"/>
      <c r="B474" s="25"/>
      <c r="C474" s="25"/>
      <c r="D474" s="25"/>
      <c r="E474" s="25"/>
      <c r="F474" s="31" t="s">
        <v>29</v>
      </c>
      <c r="G474" s="84"/>
      <c r="H474" s="29"/>
      <c r="I474" s="29"/>
      <c r="J474" s="29"/>
      <c r="K474" s="30">
        <v>0.0</v>
      </c>
      <c r="L474" s="82" t="s">
        <v>30</v>
      </c>
      <c r="M474" s="52">
        <v>1200.0</v>
      </c>
      <c r="N474" s="25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ht="18.75" customHeight="1">
      <c r="A475" s="24"/>
      <c r="B475" s="25"/>
      <c r="C475" s="25"/>
      <c r="D475" s="25"/>
      <c r="E475" s="53"/>
      <c r="F475" s="64" t="s">
        <v>31</v>
      </c>
      <c r="G475" s="65"/>
      <c r="H475" s="32"/>
      <c r="I475" s="32"/>
      <c r="J475" s="32"/>
      <c r="K475" s="65"/>
      <c r="L475" s="82"/>
      <c r="M475" s="52"/>
      <c r="N475" s="5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ht="18.75" customHeight="1">
      <c r="A476" s="24"/>
      <c r="B476" s="25"/>
      <c r="C476" s="25"/>
      <c r="D476" s="25"/>
      <c r="E476" s="22">
        <f>N488</f>
        <v>62226</v>
      </c>
      <c r="F476" s="54" t="s">
        <v>33</v>
      </c>
      <c r="G476" s="55"/>
      <c r="H476" s="53"/>
      <c r="I476" s="29"/>
      <c r="J476" s="29"/>
      <c r="K476" s="56">
        <f>SUM(K468:K474)</f>
        <v>29950</v>
      </c>
      <c r="L476" s="41" t="s">
        <v>34</v>
      </c>
      <c r="M476" s="56">
        <f>SUM(M468:M475)</f>
        <v>15540</v>
      </c>
      <c r="N476" s="22">
        <f>E476+K476-M476</f>
        <v>76636</v>
      </c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ht="65.25" customHeight="1">
      <c r="A477" s="57"/>
      <c r="B477" s="53"/>
      <c r="C477" s="53"/>
      <c r="D477" s="53"/>
      <c r="E477" s="58" t="s">
        <v>35</v>
      </c>
      <c r="F477" s="59" t="s">
        <v>127</v>
      </c>
      <c r="G477" s="55"/>
      <c r="H477" s="55"/>
      <c r="I477" s="55"/>
      <c r="J477" s="55"/>
      <c r="K477" s="55"/>
      <c r="L477" s="55"/>
      <c r="M477" s="55"/>
      <c r="N477" s="5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ht="18.75" customHeight="1">
      <c r="A478" s="11">
        <v>1126.0</v>
      </c>
      <c r="B478" s="12">
        <v>45374.0</v>
      </c>
      <c r="C478" s="13"/>
      <c r="D478" s="14" t="s">
        <v>128</v>
      </c>
      <c r="E478" s="15" t="s">
        <v>15</v>
      </c>
      <c r="F478" s="16" t="s">
        <v>16</v>
      </c>
      <c r="G478" s="86">
        <v>200.0</v>
      </c>
      <c r="H478" s="18">
        <v>94.0</v>
      </c>
      <c r="I478" s="19"/>
      <c r="J478" s="19"/>
      <c r="K478" s="20">
        <f t="shared" ref="K478:K482" si="49">G478*H478</f>
        <v>18800</v>
      </c>
      <c r="L478" s="21" t="s">
        <v>17</v>
      </c>
      <c r="M478" s="20">
        <v>200.0</v>
      </c>
      <c r="N478" s="9" t="s">
        <v>13</v>
      </c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ht="18.75" customHeight="1">
      <c r="A479" s="24"/>
      <c r="B479" s="25"/>
      <c r="C479" s="25"/>
      <c r="D479" s="25"/>
      <c r="E479" s="25"/>
      <c r="F479" s="26" t="s">
        <v>18</v>
      </c>
      <c r="G479" s="44">
        <v>150.0</v>
      </c>
      <c r="H479" s="28">
        <v>48.0</v>
      </c>
      <c r="I479" s="29"/>
      <c r="J479" s="29"/>
      <c r="K479" s="30">
        <f t="shared" si="49"/>
        <v>7200</v>
      </c>
      <c r="L479" s="31" t="s">
        <v>19</v>
      </c>
      <c r="M479" s="30">
        <v>200.0</v>
      </c>
      <c r="N479" s="22">
        <f>K488-M488</f>
        <v>-65660</v>
      </c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ht="18.75" customHeight="1">
      <c r="A480" s="24"/>
      <c r="B480" s="25"/>
      <c r="C480" s="25"/>
      <c r="D480" s="25"/>
      <c r="E480" s="25"/>
      <c r="F480" s="39" t="s">
        <v>23</v>
      </c>
      <c r="G480" s="83">
        <v>100.0</v>
      </c>
      <c r="H480" s="40"/>
      <c r="I480" s="32"/>
      <c r="J480" s="32"/>
      <c r="K480" s="35">
        <f t="shared" si="49"/>
        <v>0</v>
      </c>
      <c r="L480" s="36" t="s">
        <v>21</v>
      </c>
      <c r="M480" s="37">
        <v>350.0</v>
      </c>
      <c r="N480" s="32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ht="18.75" customHeight="1">
      <c r="A481" s="24"/>
      <c r="B481" s="25"/>
      <c r="C481" s="25"/>
      <c r="D481" s="25"/>
      <c r="E481" s="25"/>
      <c r="F481" s="33" t="s">
        <v>20</v>
      </c>
      <c r="G481" s="27">
        <v>150.0</v>
      </c>
      <c r="H481" s="28"/>
      <c r="I481" s="29"/>
      <c r="J481" s="29"/>
      <c r="K481" s="30">
        <f t="shared" si="49"/>
        <v>0</v>
      </c>
      <c r="L481" s="41" t="s">
        <v>24</v>
      </c>
      <c r="M481" s="42">
        <v>3500.0</v>
      </c>
      <c r="N481" s="38" t="s">
        <v>22</v>
      </c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ht="18.75" customHeight="1">
      <c r="A482" s="24"/>
      <c r="B482" s="25"/>
      <c r="C482" s="25"/>
      <c r="D482" s="25"/>
      <c r="E482" s="25"/>
      <c r="F482" s="43" t="s">
        <v>25</v>
      </c>
      <c r="G482" s="44">
        <v>200.0</v>
      </c>
      <c r="H482" s="28"/>
      <c r="I482" s="32"/>
      <c r="J482" s="32"/>
      <c r="K482" s="35">
        <f t="shared" si="49"/>
        <v>0</v>
      </c>
      <c r="L482" s="36" t="s">
        <v>26</v>
      </c>
      <c r="M482" s="45">
        <v>8650.0</v>
      </c>
      <c r="N482" s="25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ht="18.75" customHeight="1">
      <c r="A483" s="24"/>
      <c r="B483" s="25"/>
      <c r="C483" s="25"/>
      <c r="D483" s="25"/>
      <c r="E483" s="25"/>
      <c r="F483" s="64"/>
      <c r="G483" s="83"/>
      <c r="H483" s="32"/>
      <c r="I483" s="32"/>
      <c r="J483" s="32"/>
      <c r="K483" s="35"/>
      <c r="L483" s="87" t="s">
        <v>129</v>
      </c>
      <c r="M483" s="88">
        <v>3400.0</v>
      </c>
      <c r="N483" s="25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ht="18.75" customHeight="1">
      <c r="A484" s="24"/>
      <c r="B484" s="25"/>
      <c r="C484" s="25"/>
      <c r="D484" s="25"/>
      <c r="E484" s="25"/>
      <c r="F484" s="64"/>
      <c r="G484" s="83"/>
      <c r="H484" s="32"/>
      <c r="I484" s="32"/>
      <c r="J484" s="32"/>
      <c r="K484" s="35"/>
      <c r="L484" s="89" t="s">
        <v>130</v>
      </c>
      <c r="M484" s="35">
        <v>3000.0</v>
      </c>
      <c r="N484" s="25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ht="18.75" customHeight="1">
      <c r="A485" s="24"/>
      <c r="B485" s="25"/>
      <c r="C485" s="25"/>
      <c r="D485" s="25"/>
      <c r="E485" s="25"/>
      <c r="F485" s="64" t="s">
        <v>118</v>
      </c>
      <c r="G485" s="83">
        <v>0.0</v>
      </c>
      <c r="H485" s="32"/>
      <c r="I485" s="32"/>
      <c r="J485" s="32"/>
      <c r="K485" s="35">
        <f>G485*H485</f>
        <v>0</v>
      </c>
      <c r="L485" s="89" t="s">
        <v>131</v>
      </c>
      <c r="M485" s="35">
        <v>68150.0</v>
      </c>
      <c r="N485" s="25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ht="18.75" customHeight="1">
      <c r="A486" s="24"/>
      <c r="B486" s="25"/>
      <c r="C486" s="25"/>
      <c r="D486" s="25"/>
      <c r="E486" s="25"/>
      <c r="F486" s="31" t="s">
        <v>29</v>
      </c>
      <c r="G486" s="84"/>
      <c r="H486" s="29"/>
      <c r="I486" s="29"/>
      <c r="J486" s="29"/>
      <c r="K486" s="30">
        <v>0.0</v>
      </c>
      <c r="L486" s="48" t="s">
        <v>28</v>
      </c>
      <c r="M486" s="49">
        <f>1800+610</f>
        <v>2410</v>
      </c>
      <c r="N486" s="25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ht="18.75" customHeight="1">
      <c r="A487" s="24"/>
      <c r="B487" s="25"/>
      <c r="C487" s="25"/>
      <c r="D487" s="25"/>
      <c r="E487" s="53"/>
      <c r="F487" s="64" t="s">
        <v>31</v>
      </c>
      <c r="G487" s="65"/>
      <c r="H487" s="32"/>
      <c r="I487" s="32"/>
      <c r="J487" s="32"/>
      <c r="K487" s="65"/>
      <c r="L487" s="82" t="s">
        <v>30</v>
      </c>
      <c r="M487" s="52">
        <v>1800.0</v>
      </c>
      <c r="N487" s="5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ht="18.75" customHeight="1">
      <c r="A488" s="24"/>
      <c r="B488" s="25"/>
      <c r="C488" s="25"/>
      <c r="D488" s="25"/>
      <c r="E488" s="22">
        <f>N498</f>
        <v>127886</v>
      </c>
      <c r="F488" s="54" t="s">
        <v>33</v>
      </c>
      <c r="G488" s="55"/>
      <c r="H488" s="53"/>
      <c r="I488" s="29"/>
      <c r="J488" s="29"/>
      <c r="K488" s="56">
        <f>SUM(K478:K486)</f>
        <v>26000</v>
      </c>
      <c r="L488" s="41" t="s">
        <v>34</v>
      </c>
      <c r="M488" s="56">
        <f>SUM(M478:M487)</f>
        <v>91660</v>
      </c>
      <c r="N488" s="22">
        <f>E488+K488-M488</f>
        <v>62226</v>
      </c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ht="60.75" customHeight="1">
      <c r="A489" s="57"/>
      <c r="B489" s="53"/>
      <c r="C489" s="53"/>
      <c r="D489" s="53"/>
      <c r="E489" s="58" t="s">
        <v>35</v>
      </c>
      <c r="F489" s="59" t="s">
        <v>132</v>
      </c>
      <c r="G489" s="55"/>
      <c r="H489" s="55"/>
      <c r="I489" s="55"/>
      <c r="J489" s="55"/>
      <c r="K489" s="55"/>
      <c r="L489" s="55"/>
      <c r="M489" s="55"/>
      <c r="N489" s="5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ht="18.75" customHeight="1">
      <c r="A490" s="11">
        <v>1125.0</v>
      </c>
      <c r="B490" s="12">
        <v>45367.0</v>
      </c>
      <c r="C490" s="13"/>
      <c r="D490" s="14" t="s">
        <v>109</v>
      </c>
      <c r="E490" s="15" t="s">
        <v>15</v>
      </c>
      <c r="F490" s="16" t="s">
        <v>16</v>
      </c>
      <c r="G490" s="86">
        <v>200.0</v>
      </c>
      <c r="H490" s="18">
        <v>107.0</v>
      </c>
      <c r="I490" s="19"/>
      <c r="J490" s="19"/>
      <c r="K490" s="20">
        <f t="shared" ref="K490:K495" si="50">G490*H490</f>
        <v>21400</v>
      </c>
      <c r="L490" s="21" t="s">
        <v>17</v>
      </c>
      <c r="M490" s="20">
        <v>200.0</v>
      </c>
      <c r="N490" s="9" t="s">
        <v>13</v>
      </c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ht="18.75" customHeight="1">
      <c r="A491" s="24"/>
      <c r="B491" s="25"/>
      <c r="C491" s="25"/>
      <c r="D491" s="25"/>
      <c r="E491" s="25"/>
      <c r="F491" s="26" t="s">
        <v>18</v>
      </c>
      <c r="G491" s="44">
        <v>150.0</v>
      </c>
      <c r="H491" s="28">
        <v>57.0</v>
      </c>
      <c r="I491" s="29"/>
      <c r="J491" s="29"/>
      <c r="K491" s="30">
        <f t="shared" si="50"/>
        <v>8550</v>
      </c>
      <c r="L491" s="31" t="s">
        <v>19</v>
      </c>
      <c r="M491" s="30">
        <v>200.0</v>
      </c>
      <c r="N491" s="22">
        <f>K498-M498</f>
        <v>8594</v>
      </c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</row>
    <row r="492" ht="18.75" customHeight="1">
      <c r="A492" s="24"/>
      <c r="B492" s="25"/>
      <c r="C492" s="25"/>
      <c r="D492" s="25"/>
      <c r="E492" s="25"/>
      <c r="F492" s="39" t="s">
        <v>23</v>
      </c>
      <c r="G492" s="83">
        <v>100.0</v>
      </c>
      <c r="H492" s="40">
        <v>1.0</v>
      </c>
      <c r="I492" s="32"/>
      <c r="J492" s="32"/>
      <c r="K492" s="35">
        <f t="shared" si="50"/>
        <v>100</v>
      </c>
      <c r="L492" s="36" t="s">
        <v>21</v>
      </c>
      <c r="M492" s="35">
        <v>400.0</v>
      </c>
      <c r="N492" s="32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ht="18.75" customHeight="1">
      <c r="A493" s="24"/>
      <c r="B493" s="25"/>
      <c r="C493" s="25"/>
      <c r="D493" s="25"/>
      <c r="E493" s="25"/>
      <c r="F493" s="33" t="s">
        <v>20</v>
      </c>
      <c r="G493" s="27">
        <v>150.0</v>
      </c>
      <c r="H493" s="28">
        <v>1.0</v>
      </c>
      <c r="I493" s="29"/>
      <c r="J493" s="29"/>
      <c r="K493" s="30">
        <f t="shared" si="50"/>
        <v>150</v>
      </c>
      <c r="L493" s="41" t="s">
        <v>24</v>
      </c>
      <c r="M493" s="42">
        <v>3500.0</v>
      </c>
      <c r="N493" s="38" t="s">
        <v>22</v>
      </c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</row>
    <row r="494" ht="18.75" customHeight="1">
      <c r="A494" s="24"/>
      <c r="B494" s="25"/>
      <c r="C494" s="25"/>
      <c r="D494" s="25"/>
      <c r="E494" s="25"/>
      <c r="F494" s="43" t="s">
        <v>25</v>
      </c>
      <c r="G494" s="44">
        <v>200.0</v>
      </c>
      <c r="H494" s="28">
        <v>1.0</v>
      </c>
      <c r="I494" s="32"/>
      <c r="J494" s="32"/>
      <c r="K494" s="35">
        <f t="shared" si="50"/>
        <v>200</v>
      </c>
      <c r="L494" s="36"/>
      <c r="M494" s="45"/>
      <c r="N494" s="25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ht="18.75" customHeight="1">
      <c r="A495" s="24"/>
      <c r="B495" s="25"/>
      <c r="C495" s="25"/>
      <c r="D495" s="25"/>
      <c r="E495" s="25"/>
      <c r="F495" s="64" t="s">
        <v>118</v>
      </c>
      <c r="G495" s="83">
        <v>0.0</v>
      </c>
      <c r="H495" s="32"/>
      <c r="I495" s="32"/>
      <c r="J495" s="32"/>
      <c r="K495" s="35">
        <f t="shared" si="50"/>
        <v>0</v>
      </c>
      <c r="L495" s="36" t="s">
        <v>26</v>
      </c>
      <c r="M495" s="45">
        <v>9860.0</v>
      </c>
      <c r="N495" s="25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ht="18.75" customHeight="1">
      <c r="A496" s="24"/>
      <c r="B496" s="25"/>
      <c r="C496" s="25"/>
      <c r="D496" s="25"/>
      <c r="E496" s="25"/>
      <c r="F496" s="31" t="s">
        <v>29</v>
      </c>
      <c r="G496" s="84"/>
      <c r="H496" s="29"/>
      <c r="I496" s="29"/>
      <c r="J496" s="29"/>
      <c r="K496" s="30">
        <v>0.0</v>
      </c>
      <c r="L496" s="48" t="s">
        <v>28</v>
      </c>
      <c r="M496" s="49">
        <f>1665+445</f>
        <v>2110</v>
      </c>
      <c r="N496" s="25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</row>
    <row r="497" ht="18.75" customHeight="1">
      <c r="A497" s="24"/>
      <c r="B497" s="25"/>
      <c r="C497" s="25"/>
      <c r="D497" s="25"/>
      <c r="E497" s="53"/>
      <c r="F497" s="64" t="s">
        <v>31</v>
      </c>
      <c r="G497" s="65"/>
      <c r="H497" s="32"/>
      <c r="I497" s="32"/>
      <c r="J497" s="32"/>
      <c r="K497" s="65"/>
      <c r="L497" s="82" t="s">
        <v>30</v>
      </c>
      <c r="M497" s="52">
        <v>5536.0</v>
      </c>
      <c r="N497" s="5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ht="18.75" customHeight="1">
      <c r="A498" s="24"/>
      <c r="B498" s="25"/>
      <c r="C498" s="25"/>
      <c r="D498" s="25"/>
      <c r="E498" s="22">
        <f>N508</f>
        <v>119292</v>
      </c>
      <c r="F498" s="54" t="s">
        <v>33</v>
      </c>
      <c r="G498" s="55"/>
      <c r="H498" s="53"/>
      <c r="I498" s="29"/>
      <c r="J498" s="29"/>
      <c r="K498" s="56">
        <f>SUM(K490:K496)</f>
        <v>30400</v>
      </c>
      <c r="L498" s="41" t="s">
        <v>34</v>
      </c>
      <c r="M498" s="56">
        <f>SUM(M490:M497)</f>
        <v>21806</v>
      </c>
      <c r="N498" s="22">
        <f>E498+K498-M498</f>
        <v>127886</v>
      </c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</row>
    <row r="499" ht="65.25" customHeight="1">
      <c r="A499" s="57"/>
      <c r="B499" s="53"/>
      <c r="C499" s="53"/>
      <c r="D499" s="53"/>
      <c r="E499" s="58" t="s">
        <v>35</v>
      </c>
      <c r="F499" s="59" t="s">
        <v>133</v>
      </c>
      <c r="G499" s="55"/>
      <c r="H499" s="55"/>
      <c r="I499" s="55"/>
      <c r="J499" s="55"/>
      <c r="K499" s="55"/>
      <c r="L499" s="55"/>
      <c r="M499" s="55"/>
      <c r="N499" s="5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ht="18.75" customHeight="1">
      <c r="A500" s="11">
        <v>1124.0</v>
      </c>
      <c r="B500" s="12">
        <v>45360.0</v>
      </c>
      <c r="C500" s="13"/>
      <c r="D500" s="14" t="s">
        <v>134</v>
      </c>
      <c r="E500" s="15" t="s">
        <v>15</v>
      </c>
      <c r="F500" s="16" t="s">
        <v>16</v>
      </c>
      <c r="G500" s="86">
        <v>200.0</v>
      </c>
      <c r="H500" s="18">
        <v>90.0</v>
      </c>
      <c r="I500" s="19"/>
      <c r="J500" s="19"/>
      <c r="K500" s="20">
        <f t="shared" ref="K500:K505" si="51">G500*H500</f>
        <v>18000</v>
      </c>
      <c r="L500" s="21" t="s">
        <v>17</v>
      </c>
      <c r="M500" s="20">
        <v>200.0</v>
      </c>
      <c r="N500" s="9" t="s">
        <v>13</v>
      </c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ht="18.75" customHeight="1">
      <c r="A501" s="24"/>
      <c r="B501" s="25"/>
      <c r="C501" s="25"/>
      <c r="D501" s="25"/>
      <c r="E501" s="25"/>
      <c r="F501" s="26" t="s">
        <v>18</v>
      </c>
      <c r="G501" s="44">
        <v>150.0</v>
      </c>
      <c r="H501" s="28">
        <v>60.0</v>
      </c>
      <c r="I501" s="29"/>
      <c r="J501" s="29"/>
      <c r="K501" s="30">
        <f t="shared" si="51"/>
        <v>9000</v>
      </c>
      <c r="L501" s="31" t="s">
        <v>19</v>
      </c>
      <c r="M501" s="30">
        <v>200.0</v>
      </c>
      <c r="N501" s="22">
        <f>K508-M508</f>
        <v>12555</v>
      </c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</row>
    <row r="502" ht="18.75" customHeight="1">
      <c r="A502" s="24"/>
      <c r="B502" s="25"/>
      <c r="C502" s="25"/>
      <c r="D502" s="25"/>
      <c r="E502" s="25"/>
      <c r="F502" s="39" t="s">
        <v>23</v>
      </c>
      <c r="G502" s="83">
        <v>100.0</v>
      </c>
      <c r="H502" s="40">
        <v>1.0</v>
      </c>
      <c r="I502" s="32"/>
      <c r="J502" s="32"/>
      <c r="K502" s="35">
        <f t="shared" si="51"/>
        <v>100</v>
      </c>
      <c r="L502" s="36" t="s">
        <v>21</v>
      </c>
      <c r="M502" s="35">
        <v>400.0</v>
      </c>
      <c r="N502" s="32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ht="18.75" customHeight="1">
      <c r="A503" s="24"/>
      <c r="B503" s="25"/>
      <c r="C503" s="25"/>
      <c r="D503" s="25"/>
      <c r="E503" s="25"/>
      <c r="F503" s="33" t="s">
        <v>20</v>
      </c>
      <c r="G503" s="27">
        <v>150.0</v>
      </c>
      <c r="H503" s="28">
        <v>1.0</v>
      </c>
      <c r="I503" s="29"/>
      <c r="J503" s="29"/>
      <c r="K503" s="30">
        <f t="shared" si="51"/>
        <v>150</v>
      </c>
      <c r="L503" s="41" t="s">
        <v>24</v>
      </c>
      <c r="M503" s="42">
        <v>4000.0</v>
      </c>
      <c r="N503" s="38" t="s">
        <v>22</v>
      </c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</row>
    <row r="504" ht="18.75" customHeight="1">
      <c r="A504" s="24"/>
      <c r="B504" s="25"/>
      <c r="C504" s="25"/>
      <c r="D504" s="25"/>
      <c r="E504" s="25"/>
      <c r="F504" s="43" t="s">
        <v>25</v>
      </c>
      <c r="G504" s="44">
        <v>200.0</v>
      </c>
      <c r="H504" s="28"/>
      <c r="I504" s="32"/>
      <c r="J504" s="32"/>
      <c r="K504" s="35">
        <f t="shared" si="51"/>
        <v>0</v>
      </c>
      <c r="L504" s="36"/>
      <c r="M504" s="45"/>
      <c r="N504" s="25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ht="18.75" customHeight="1">
      <c r="A505" s="24"/>
      <c r="B505" s="25"/>
      <c r="C505" s="25"/>
      <c r="D505" s="25"/>
      <c r="E505" s="25"/>
      <c r="F505" s="64" t="s">
        <v>118</v>
      </c>
      <c r="G505" s="83">
        <v>0.0</v>
      </c>
      <c r="H505" s="32"/>
      <c r="I505" s="32"/>
      <c r="J505" s="32"/>
      <c r="K505" s="35">
        <f t="shared" si="51"/>
        <v>0</v>
      </c>
      <c r="L505" s="36" t="s">
        <v>26</v>
      </c>
      <c r="M505" s="45">
        <v>8360.0</v>
      </c>
      <c r="N505" s="25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ht="18.75" customHeight="1">
      <c r="A506" s="24"/>
      <c r="B506" s="25"/>
      <c r="C506" s="25"/>
      <c r="D506" s="25"/>
      <c r="E506" s="25"/>
      <c r="F506" s="31" t="s">
        <v>29</v>
      </c>
      <c r="G506" s="84"/>
      <c r="H506" s="29"/>
      <c r="I506" s="29"/>
      <c r="J506" s="29"/>
      <c r="K506" s="30">
        <v>0.0</v>
      </c>
      <c r="L506" s="48" t="s">
        <v>28</v>
      </c>
      <c r="M506" s="49">
        <v>1535.0</v>
      </c>
      <c r="N506" s="25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</row>
    <row r="507" ht="18.75" customHeight="1">
      <c r="A507" s="24"/>
      <c r="B507" s="25"/>
      <c r="C507" s="25"/>
      <c r="D507" s="25"/>
      <c r="E507" s="53"/>
      <c r="F507" s="64" t="s">
        <v>31</v>
      </c>
      <c r="G507" s="65"/>
      <c r="H507" s="32"/>
      <c r="I507" s="32"/>
      <c r="J507" s="32"/>
      <c r="K507" s="65"/>
      <c r="L507" s="82" t="s">
        <v>30</v>
      </c>
      <c r="M507" s="91"/>
      <c r="N507" s="5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>
      <c r="A508" s="24"/>
      <c r="B508" s="25"/>
      <c r="C508" s="25"/>
      <c r="D508" s="25"/>
      <c r="E508" s="22">
        <f>N517</f>
        <v>106737</v>
      </c>
      <c r="F508" s="54" t="s">
        <v>33</v>
      </c>
      <c r="G508" s="55"/>
      <c r="H508" s="53"/>
      <c r="I508" s="29"/>
      <c r="J508" s="29"/>
      <c r="K508" s="56">
        <f>SUM(K500:K506)</f>
        <v>27250</v>
      </c>
      <c r="L508" s="41" t="s">
        <v>34</v>
      </c>
      <c r="M508" s="56">
        <f>SUM(M500:M507)</f>
        <v>14695</v>
      </c>
      <c r="N508" s="22">
        <f>E508+K508-M508</f>
        <v>119292</v>
      </c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</row>
    <row r="509" ht="60.0" customHeight="1">
      <c r="A509" s="57"/>
      <c r="B509" s="53"/>
      <c r="C509" s="53"/>
      <c r="D509" s="53"/>
      <c r="E509" s="58" t="s">
        <v>35</v>
      </c>
      <c r="F509" s="59" t="s">
        <v>135</v>
      </c>
      <c r="G509" s="55"/>
      <c r="H509" s="55"/>
      <c r="I509" s="55"/>
      <c r="J509" s="55"/>
      <c r="K509" s="55"/>
      <c r="L509" s="55"/>
      <c r="M509" s="55"/>
      <c r="N509" s="5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ht="18.75" customHeight="1">
      <c r="A510" s="11">
        <v>1123.0</v>
      </c>
      <c r="B510" s="12">
        <v>45353.0</v>
      </c>
      <c r="C510" s="13" t="s">
        <v>136</v>
      </c>
      <c r="D510" s="14" t="s">
        <v>137</v>
      </c>
      <c r="E510" s="15" t="s">
        <v>15</v>
      </c>
      <c r="F510" s="16" t="s">
        <v>16</v>
      </c>
      <c r="G510" s="86">
        <v>200.0</v>
      </c>
      <c r="H510" s="18">
        <v>147.0</v>
      </c>
      <c r="I510" s="19"/>
      <c r="J510" s="19"/>
      <c r="K510" s="20">
        <f t="shared" ref="K510:K514" si="52">G510*H510</f>
        <v>29400</v>
      </c>
      <c r="L510" s="21" t="s">
        <v>17</v>
      </c>
      <c r="M510" s="20">
        <v>200.0</v>
      </c>
      <c r="N510" s="9" t="s">
        <v>13</v>
      </c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ht="18.75" customHeight="1">
      <c r="A511" s="24"/>
      <c r="B511" s="25"/>
      <c r="C511" s="25"/>
      <c r="D511" s="25"/>
      <c r="E511" s="25"/>
      <c r="F511" s="26" t="s">
        <v>18</v>
      </c>
      <c r="G511" s="44">
        <v>150.0</v>
      </c>
      <c r="H511" s="28">
        <v>88.0</v>
      </c>
      <c r="I511" s="29"/>
      <c r="J511" s="29"/>
      <c r="K511" s="30">
        <f t="shared" si="52"/>
        <v>13200</v>
      </c>
      <c r="L511" s="31" t="s">
        <v>19</v>
      </c>
      <c r="M511" s="30">
        <v>200.0</v>
      </c>
      <c r="N511" s="22">
        <f>K517-M517</f>
        <v>4160</v>
      </c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</row>
    <row r="512" ht="18.75" customHeight="1">
      <c r="A512" s="24"/>
      <c r="B512" s="25"/>
      <c r="C512" s="25"/>
      <c r="D512" s="25"/>
      <c r="E512" s="25"/>
      <c r="F512" s="39" t="s">
        <v>23</v>
      </c>
      <c r="G512" s="83">
        <v>100.0</v>
      </c>
      <c r="H512" s="32"/>
      <c r="I512" s="32"/>
      <c r="J512" s="32"/>
      <c r="K512" s="35">
        <f t="shared" si="52"/>
        <v>0</v>
      </c>
      <c r="L512" s="36" t="s">
        <v>21</v>
      </c>
      <c r="M512" s="35">
        <v>400.0</v>
      </c>
      <c r="N512" s="32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ht="18.75" customHeight="1">
      <c r="A513" s="24"/>
      <c r="B513" s="25"/>
      <c r="C513" s="25"/>
      <c r="D513" s="25"/>
      <c r="E513" s="25"/>
      <c r="F513" s="43" t="s">
        <v>25</v>
      </c>
      <c r="G513" s="44">
        <v>200.0</v>
      </c>
      <c r="H513" s="29"/>
      <c r="I513" s="29"/>
      <c r="J513" s="29"/>
      <c r="K513" s="30">
        <f t="shared" si="52"/>
        <v>0</v>
      </c>
      <c r="L513" s="41" t="s">
        <v>24</v>
      </c>
      <c r="M513" s="30">
        <v>3500.0</v>
      </c>
      <c r="N513" s="38" t="s">
        <v>22</v>
      </c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</row>
    <row r="514" ht="18.75" customHeight="1">
      <c r="A514" s="24"/>
      <c r="B514" s="25"/>
      <c r="C514" s="25"/>
      <c r="D514" s="25"/>
      <c r="E514" s="25"/>
      <c r="F514" s="64" t="s">
        <v>118</v>
      </c>
      <c r="G514" s="83">
        <v>0.0</v>
      </c>
      <c r="H514" s="32"/>
      <c r="I514" s="32"/>
      <c r="J514" s="32"/>
      <c r="K514" s="35">
        <f t="shared" si="52"/>
        <v>0</v>
      </c>
      <c r="L514" s="36" t="s">
        <v>26</v>
      </c>
      <c r="M514" s="45">
        <v>29500.0</v>
      </c>
      <c r="N514" s="25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ht="18.75" customHeight="1">
      <c r="A515" s="24"/>
      <c r="B515" s="25"/>
      <c r="C515" s="25"/>
      <c r="D515" s="25"/>
      <c r="E515" s="25"/>
      <c r="F515" s="31" t="s">
        <v>29</v>
      </c>
      <c r="G515" s="84"/>
      <c r="H515" s="29"/>
      <c r="I515" s="29"/>
      <c r="J515" s="29"/>
      <c r="K515" s="30">
        <v>0.0</v>
      </c>
      <c r="L515" s="28" t="s">
        <v>28</v>
      </c>
      <c r="M515" s="92">
        <v>360.0</v>
      </c>
      <c r="N515" s="25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</row>
    <row r="516" ht="18.75" customHeight="1">
      <c r="A516" s="24"/>
      <c r="B516" s="25"/>
      <c r="C516" s="25"/>
      <c r="D516" s="25"/>
      <c r="E516" s="53"/>
      <c r="F516" s="64" t="s">
        <v>31</v>
      </c>
      <c r="G516" s="65"/>
      <c r="H516" s="32"/>
      <c r="I516" s="32"/>
      <c r="J516" s="32"/>
      <c r="K516" s="65"/>
      <c r="L516" s="40" t="s">
        <v>30</v>
      </c>
      <c r="M516" s="45">
        <v>4280.0</v>
      </c>
      <c r="N516" s="5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ht="18.75" customHeight="1">
      <c r="A517" s="24"/>
      <c r="B517" s="25"/>
      <c r="C517" s="25"/>
      <c r="D517" s="25"/>
      <c r="E517" s="22">
        <f>N529</f>
        <v>102577</v>
      </c>
      <c r="F517" s="54" t="s">
        <v>33</v>
      </c>
      <c r="G517" s="55"/>
      <c r="H517" s="53"/>
      <c r="I517" s="29"/>
      <c r="J517" s="29"/>
      <c r="K517" s="56">
        <f>SUM(K510:K515)</f>
        <v>42600</v>
      </c>
      <c r="L517" s="41" t="s">
        <v>34</v>
      </c>
      <c r="M517" s="56">
        <f>SUM(M510:M516)</f>
        <v>38440</v>
      </c>
      <c r="N517" s="22">
        <f>E517+K517-M517</f>
        <v>106737</v>
      </c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</row>
    <row r="518" ht="54.75" customHeight="1">
      <c r="A518" s="57"/>
      <c r="B518" s="53"/>
      <c r="C518" s="53"/>
      <c r="D518" s="53"/>
      <c r="E518" s="58" t="s">
        <v>35</v>
      </c>
      <c r="F518" s="59" t="s">
        <v>138</v>
      </c>
      <c r="G518" s="55"/>
      <c r="H518" s="55"/>
      <c r="I518" s="55"/>
      <c r="J518" s="55"/>
      <c r="K518" s="55"/>
      <c r="L518" s="55"/>
      <c r="M518" s="55"/>
      <c r="N518" s="5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ht="23.25" customHeight="1">
      <c r="A519" s="93" t="s">
        <v>139</v>
      </c>
      <c r="B519" s="94"/>
      <c r="C519" s="94"/>
      <c r="D519" s="95"/>
      <c r="E519" s="96"/>
      <c r="F519" s="97" t="s">
        <v>140</v>
      </c>
      <c r="G519" s="2"/>
      <c r="H519" s="2"/>
      <c r="I519" s="2"/>
      <c r="J519" s="3"/>
      <c r="K519" s="97" t="s">
        <v>141</v>
      </c>
      <c r="L519" s="2"/>
      <c r="M519" s="3"/>
      <c r="N519" s="98" t="s">
        <v>142</v>
      </c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</row>
    <row r="520" ht="25.5" customHeight="1">
      <c r="A520" s="100"/>
      <c r="D520" s="25"/>
      <c r="E520" s="25"/>
      <c r="F520" s="97" t="s">
        <v>143</v>
      </c>
      <c r="G520" s="3"/>
      <c r="H520" s="101">
        <v>306057.0</v>
      </c>
      <c r="I520" s="2"/>
      <c r="J520" s="3"/>
      <c r="K520" s="97" t="s">
        <v>144</v>
      </c>
      <c r="L520" s="3"/>
      <c r="M520" s="102">
        <v>176000.0</v>
      </c>
      <c r="N520" s="24"/>
      <c r="O520" s="103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</row>
    <row r="521" ht="24.0" customHeight="1">
      <c r="A521" s="100"/>
      <c r="D521" s="25"/>
      <c r="E521" s="25"/>
      <c r="F521" s="105" t="s">
        <v>145</v>
      </c>
      <c r="G521" s="3"/>
      <c r="H521" s="106">
        <v>12600.0</v>
      </c>
      <c r="I521" s="2"/>
      <c r="J521" s="3"/>
      <c r="K521" s="105" t="s">
        <v>146</v>
      </c>
      <c r="L521" s="3"/>
      <c r="M521" s="107">
        <v>5600.0</v>
      </c>
      <c r="N521" s="24"/>
      <c r="O521" s="108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</row>
    <row r="522" ht="23.25" customHeight="1">
      <c r="A522" s="100"/>
      <c r="D522" s="25"/>
      <c r="E522" s="25"/>
      <c r="F522" s="97" t="s">
        <v>147</v>
      </c>
      <c r="G522" s="3"/>
      <c r="H522" s="101">
        <v>6000.0</v>
      </c>
      <c r="I522" s="2"/>
      <c r="J522" s="3"/>
      <c r="K522" s="97" t="s">
        <v>148</v>
      </c>
      <c r="L522" s="3"/>
      <c r="M522" s="102">
        <v>3700.0</v>
      </c>
      <c r="N522" s="24"/>
      <c r="O522" s="103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</row>
    <row r="523" ht="24.75" customHeight="1">
      <c r="A523" s="100"/>
      <c r="D523" s="25"/>
      <c r="E523" s="25"/>
      <c r="F523" s="105" t="s">
        <v>149</v>
      </c>
      <c r="G523" s="3"/>
      <c r="H523" s="106">
        <v>750.0</v>
      </c>
      <c r="I523" s="2"/>
      <c r="J523" s="3"/>
      <c r="K523" s="105" t="s">
        <v>150</v>
      </c>
      <c r="L523" s="3"/>
      <c r="M523" s="107">
        <v>6000.0</v>
      </c>
      <c r="N523" s="24"/>
      <c r="O523" s="108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</row>
    <row r="524" ht="24.0" customHeight="1">
      <c r="A524" s="100"/>
      <c r="D524" s="25"/>
      <c r="E524" s="25"/>
      <c r="F524" s="110"/>
      <c r="G524" s="3"/>
      <c r="H524" s="111"/>
      <c r="I524" s="2"/>
      <c r="J524" s="3"/>
      <c r="K524" s="97" t="s">
        <v>151</v>
      </c>
      <c r="L524" s="3"/>
      <c r="M524" s="112">
        <v>4500.0</v>
      </c>
      <c r="N524" s="24"/>
      <c r="O524" s="103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</row>
    <row r="525" ht="23.25" customHeight="1">
      <c r="A525" s="100"/>
      <c r="D525" s="25"/>
      <c r="E525" s="25"/>
      <c r="F525" s="113"/>
      <c r="G525" s="3"/>
      <c r="H525" s="114"/>
      <c r="I525" s="2"/>
      <c r="J525" s="3"/>
      <c r="K525" s="105" t="s">
        <v>152</v>
      </c>
      <c r="L525" s="3"/>
      <c r="M525" s="115">
        <v>16000.0</v>
      </c>
      <c r="N525" s="24"/>
      <c r="O525" s="108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</row>
    <row r="526" ht="24.0" customHeight="1">
      <c r="A526" s="100"/>
      <c r="D526" s="25"/>
      <c r="E526" s="25"/>
      <c r="F526" s="110"/>
      <c r="G526" s="3"/>
      <c r="H526" s="111"/>
      <c r="I526" s="2"/>
      <c r="J526" s="3"/>
      <c r="K526" s="97" t="s">
        <v>153</v>
      </c>
      <c r="L526" s="3"/>
      <c r="M526" s="112">
        <v>6000.0</v>
      </c>
      <c r="N526" s="24"/>
      <c r="O526" s="103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</row>
    <row r="527" ht="23.25" customHeight="1">
      <c r="A527" s="100"/>
      <c r="D527" s="25"/>
      <c r="E527" s="25"/>
      <c r="F527" s="116"/>
      <c r="G527" s="3"/>
      <c r="H527" s="117"/>
      <c r="I527" s="2"/>
      <c r="J527" s="3"/>
      <c r="K527" s="105" t="s">
        <v>154</v>
      </c>
      <c r="L527" s="3"/>
      <c r="M527" s="118">
        <v>5000.0</v>
      </c>
      <c r="N527" s="24"/>
      <c r="O527" s="108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</row>
    <row r="528" ht="22.5" customHeight="1">
      <c r="A528" s="100"/>
      <c r="D528" s="25"/>
      <c r="E528" s="25"/>
      <c r="F528" s="116"/>
      <c r="G528" s="3"/>
      <c r="H528" s="117"/>
      <c r="I528" s="2"/>
      <c r="J528" s="3"/>
      <c r="K528" s="105" t="s">
        <v>155</v>
      </c>
      <c r="L528" s="3"/>
      <c r="M528" s="118">
        <v>30.0</v>
      </c>
      <c r="N528" s="57"/>
      <c r="O528" s="108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</row>
    <row r="529" ht="31.5" customHeight="1">
      <c r="A529" s="119"/>
      <c r="B529" s="55"/>
      <c r="C529" s="55"/>
      <c r="D529" s="53"/>
      <c r="E529" s="53"/>
      <c r="F529" s="116" t="s">
        <v>33</v>
      </c>
      <c r="G529" s="3"/>
      <c r="H529" s="120">
        <f>SUM(H520:I523)</f>
        <v>325407</v>
      </c>
      <c r="I529" s="55"/>
      <c r="J529" s="55"/>
      <c r="K529" s="121" t="s">
        <v>34</v>
      </c>
      <c r="L529" s="3"/>
      <c r="M529" s="122">
        <f>SUM(M520:M528)</f>
        <v>222830</v>
      </c>
      <c r="N529" s="123">
        <f>H529-M529</f>
        <v>102577</v>
      </c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</row>
    <row r="530" ht="15.75" customHeight="1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5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</row>
    <row r="531" ht="15.75" customHeight="1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5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</row>
    <row r="532" ht="15.75" customHeight="1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5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</row>
    <row r="533" ht="15.75" customHeight="1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5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</row>
    <row r="534" ht="15.75" customHeight="1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5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</row>
    <row r="535" ht="15.75" customHeight="1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5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</row>
    <row r="536" ht="15.75" customHeight="1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5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</row>
    <row r="537" ht="15.75" customHeight="1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5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</row>
    <row r="538" ht="15.75" customHeight="1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5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</row>
    <row r="539" ht="15.75" customHeight="1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5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</row>
    <row r="540" ht="15.75" customHeight="1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5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</row>
    <row r="541" ht="15.75" customHeight="1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5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</row>
    <row r="542" ht="15.75" customHeight="1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5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</row>
    <row r="543" ht="15.75" customHeight="1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5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</row>
    <row r="544" ht="15.75" customHeight="1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5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</row>
    <row r="545" ht="15.75" customHeight="1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5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</row>
    <row r="546" ht="15.75" customHeight="1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5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</row>
    <row r="547" ht="15.75" customHeight="1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5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</row>
    <row r="548" ht="15.75" customHeight="1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5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</row>
    <row r="549" ht="15.75" customHeight="1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5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</row>
    <row r="550" ht="15.75" customHeight="1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5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</row>
    <row r="551" ht="15.75" customHeight="1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5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</row>
    <row r="552" ht="15.75" customHeight="1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5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</row>
    <row r="553" ht="15.75" customHeight="1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5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</row>
    <row r="554" ht="15.75" customHeight="1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5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</row>
    <row r="555" ht="15.75" customHeight="1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5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</row>
    <row r="556" ht="15.75" customHeight="1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5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</row>
    <row r="557" ht="15.75" customHeight="1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5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</row>
    <row r="558" ht="15.75" customHeight="1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5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</row>
    <row r="559" ht="15.75" customHeight="1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5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</row>
    <row r="560" ht="15.75" customHeight="1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5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</row>
    <row r="561" ht="15.75" customHeight="1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5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</row>
    <row r="562" ht="15.75" customHeight="1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5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</row>
    <row r="563" ht="15.75" customHeight="1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5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</row>
    <row r="564" ht="15.75" customHeight="1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5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</row>
    <row r="565" ht="15.75" customHeight="1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5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</row>
    <row r="566" ht="15.75" customHeight="1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5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</row>
    <row r="567" ht="15.75" customHeight="1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5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</row>
    <row r="568" ht="15.75" customHeight="1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5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</row>
    <row r="569" ht="15.75" customHeight="1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5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</row>
    <row r="570" ht="15.75" customHeight="1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5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</row>
    <row r="571" ht="15.75" customHeight="1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5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</row>
    <row r="572" ht="15.75" customHeight="1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5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</row>
    <row r="573" ht="15.75" customHeight="1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5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</row>
    <row r="574" ht="15.75" customHeight="1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5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</row>
    <row r="575" ht="15.75" customHeight="1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5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</row>
    <row r="576" ht="15.75" customHeight="1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5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</row>
    <row r="577" ht="15.75" customHeight="1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5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</row>
    <row r="578" ht="15.75" customHeight="1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5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</row>
    <row r="579" ht="15.75" customHeight="1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5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</row>
    <row r="580" ht="15.75" customHeight="1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5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</row>
    <row r="581" ht="15.75" customHeight="1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5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</row>
    <row r="582" ht="15.75" customHeight="1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5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</row>
    <row r="583" ht="15.75" customHeight="1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5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</row>
    <row r="584" ht="15.75" customHeight="1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5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</row>
    <row r="585" ht="15.75" customHeight="1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5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</row>
    <row r="586" ht="15.75" customHeight="1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5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</row>
    <row r="587" ht="15.75" customHeight="1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5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</row>
    <row r="588" ht="15.75" customHeight="1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5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</row>
    <row r="589" ht="15.75" customHeight="1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5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</row>
    <row r="590" ht="15.75" customHeight="1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5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</row>
    <row r="591" ht="15.75" customHeight="1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5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</row>
    <row r="592" ht="15.75" customHeight="1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5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</row>
    <row r="593" ht="15.75" customHeight="1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5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</row>
    <row r="594" ht="15.75" customHeight="1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5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</row>
    <row r="595" ht="15.75" customHeight="1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5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</row>
    <row r="596" ht="15.75" customHeight="1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5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</row>
    <row r="597" ht="15.75" customHeight="1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5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</row>
    <row r="598" ht="15.75" customHeight="1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5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</row>
    <row r="599" ht="15.75" customHeight="1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5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</row>
    <row r="600" ht="15.75" customHeight="1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5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</row>
    <row r="601" ht="15.75" customHeight="1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5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</row>
    <row r="602" ht="15.75" customHeight="1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5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</row>
    <row r="603" ht="15.75" customHeight="1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5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</row>
    <row r="604" ht="15.75" customHeight="1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5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</row>
    <row r="605" ht="15.75" customHeight="1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5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</row>
    <row r="606" ht="15.75" customHeight="1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5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</row>
    <row r="607" ht="15.75" customHeight="1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5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</row>
    <row r="608" ht="15.75" customHeight="1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5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</row>
    <row r="609" ht="15.75" customHeight="1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5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</row>
    <row r="610" ht="15.75" customHeight="1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5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</row>
    <row r="611" ht="15.75" customHeight="1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5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</row>
    <row r="612" ht="15.75" customHeight="1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5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</row>
    <row r="613" ht="15.75" customHeight="1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5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</row>
    <row r="614" ht="15.75" customHeight="1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5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</row>
    <row r="615" ht="15.75" customHeight="1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5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</row>
    <row r="616" ht="15.75" customHeight="1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5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</row>
    <row r="617" ht="15.75" customHeight="1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5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</row>
    <row r="618" ht="15.75" customHeight="1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5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</row>
    <row r="619" ht="15.75" customHeight="1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5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</row>
    <row r="620" ht="15.75" customHeight="1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5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</row>
    <row r="621" ht="15.75" customHeight="1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5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</row>
    <row r="622" ht="15.75" customHeight="1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5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</row>
    <row r="623" ht="15.75" customHeight="1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5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</row>
    <row r="624" ht="15.75" customHeight="1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5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</row>
    <row r="625" ht="15.75" customHeight="1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5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</row>
    <row r="626" ht="15.75" customHeight="1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5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</row>
    <row r="627" ht="15.75" customHeight="1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5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</row>
    <row r="628" ht="15.75" customHeight="1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5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</row>
    <row r="629" ht="15.75" customHeight="1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5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</row>
    <row r="630" ht="15.75" customHeight="1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5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</row>
    <row r="631" ht="15.75" customHeight="1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5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</row>
    <row r="632" ht="15.75" customHeight="1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5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</row>
    <row r="633" ht="15.75" customHeight="1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5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</row>
    <row r="634" ht="15.75" customHeight="1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5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</row>
    <row r="635" ht="15.75" customHeight="1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5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</row>
    <row r="636" ht="15.75" customHeight="1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5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</row>
    <row r="637" ht="15.75" customHeight="1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5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</row>
    <row r="638" ht="15.75" customHeight="1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5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</row>
    <row r="639" ht="15.75" customHeight="1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5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</row>
    <row r="640" ht="15.75" customHeight="1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5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</row>
    <row r="641" ht="15.75" customHeight="1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5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</row>
    <row r="642" ht="15.75" customHeight="1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5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</row>
    <row r="643" ht="15.75" customHeight="1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5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</row>
    <row r="644" ht="15.75" customHeight="1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5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</row>
    <row r="645" ht="15.75" customHeight="1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5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</row>
    <row r="646" ht="15.75" customHeight="1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5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</row>
    <row r="647" ht="15.75" customHeight="1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5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</row>
    <row r="648" ht="15.75" customHeight="1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5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</row>
    <row r="649" ht="15.75" customHeight="1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5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</row>
    <row r="650" ht="15.75" customHeight="1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5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</row>
    <row r="651" ht="15.75" customHeight="1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5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</row>
    <row r="652" ht="15.75" customHeight="1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5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</row>
    <row r="653" ht="15.75" customHeight="1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5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</row>
    <row r="654" ht="15.75" customHeight="1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5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</row>
    <row r="655" ht="15.75" customHeight="1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5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</row>
    <row r="656" ht="15.75" customHeight="1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5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</row>
    <row r="657" ht="15.75" customHeight="1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5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</row>
    <row r="658" ht="15.75" customHeight="1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5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</row>
    <row r="659" ht="15.75" customHeight="1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5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</row>
    <row r="660" ht="15.75" customHeight="1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5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</row>
    <row r="661" ht="15.75" customHeight="1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5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</row>
    <row r="662" ht="15.75" customHeight="1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5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</row>
    <row r="663" ht="15.75" customHeight="1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5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</row>
    <row r="664" ht="15.75" customHeight="1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5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</row>
    <row r="665" ht="15.75" customHeight="1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5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</row>
    <row r="666" ht="15.75" customHeight="1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5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</row>
    <row r="667" ht="15.75" customHeight="1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5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</row>
    <row r="668" ht="15.75" customHeight="1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5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</row>
    <row r="669" ht="15.75" customHeight="1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5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</row>
    <row r="670" ht="15.75" customHeight="1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5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</row>
    <row r="671" ht="15.75" customHeight="1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5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</row>
    <row r="672" ht="15.75" customHeight="1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5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</row>
    <row r="673" ht="15.75" customHeight="1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5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</row>
    <row r="674" ht="15.75" customHeight="1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5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</row>
    <row r="675" ht="15.75" customHeight="1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5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</row>
    <row r="676" ht="15.75" customHeight="1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5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</row>
    <row r="677" ht="15.75" customHeight="1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5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</row>
    <row r="678" ht="15.75" customHeight="1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5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</row>
    <row r="679" ht="15.75" customHeight="1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5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</row>
    <row r="680" ht="15.75" customHeight="1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5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</row>
    <row r="681" ht="15.75" customHeight="1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5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</row>
    <row r="682" ht="15.75" customHeight="1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5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</row>
    <row r="683" ht="15.75" customHeight="1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5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</row>
    <row r="684" ht="15.75" customHeight="1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5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</row>
    <row r="685" ht="15.75" customHeight="1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5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</row>
    <row r="686" ht="15.75" customHeight="1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5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</row>
    <row r="687" ht="15.75" customHeight="1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5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</row>
    <row r="688" ht="15.75" customHeight="1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5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</row>
    <row r="689" ht="15.75" customHeight="1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5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</row>
    <row r="690" ht="15.75" customHeight="1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5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</row>
    <row r="691" ht="15.75" customHeight="1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5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</row>
    <row r="692" ht="15.75" customHeight="1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5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</row>
    <row r="693" ht="15.75" customHeight="1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5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</row>
    <row r="694" ht="15.75" customHeight="1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5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</row>
    <row r="695" ht="15.75" customHeight="1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5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</row>
    <row r="696" ht="15.75" customHeight="1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5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</row>
    <row r="697" ht="15.75" customHeight="1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5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</row>
    <row r="698" ht="15.75" customHeight="1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5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</row>
    <row r="699" ht="15.75" customHeight="1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5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</row>
    <row r="700" ht="15.75" customHeight="1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5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</row>
    <row r="701" ht="15.75" customHeight="1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5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</row>
    <row r="702" ht="15.75" customHeight="1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5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</row>
    <row r="703" ht="15.75" customHeight="1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5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</row>
    <row r="704" ht="15.75" customHeight="1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5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</row>
    <row r="705" ht="15.75" customHeight="1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5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</row>
    <row r="706" ht="15.75" customHeight="1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5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</row>
    <row r="707" ht="15.75" customHeight="1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5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</row>
    <row r="708" ht="15.75" customHeight="1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5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</row>
    <row r="709" ht="15.75" customHeight="1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5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</row>
    <row r="710" ht="15.75" customHeight="1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5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</row>
    <row r="711" ht="15.75" customHeight="1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5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</row>
    <row r="712" ht="15.75" customHeight="1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5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</row>
    <row r="713" ht="15.75" customHeight="1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5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</row>
    <row r="714" ht="15.75" customHeight="1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5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</row>
    <row r="715" ht="15.75" customHeight="1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5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</row>
    <row r="716" ht="15.75" customHeight="1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5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</row>
    <row r="717" ht="15.75" customHeight="1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5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</row>
    <row r="718" ht="15.75" customHeight="1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5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</row>
    <row r="719" ht="15.75" customHeight="1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5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</row>
    <row r="720" ht="15.75" customHeight="1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5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</row>
    <row r="721" ht="15.75" customHeight="1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5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</row>
    <row r="722" ht="15.75" customHeight="1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5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</row>
    <row r="723" ht="15.75" customHeight="1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5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</row>
    <row r="724" ht="15.75" customHeight="1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5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</row>
    <row r="725" ht="15.75" customHeight="1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5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</row>
    <row r="726" ht="15.75" customHeight="1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5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</row>
    <row r="727" ht="15.75" customHeight="1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5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</row>
    <row r="728" ht="15.75" customHeight="1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5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</row>
    <row r="729" ht="15.75" customHeight="1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5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</row>
    <row r="730" ht="15.75" customHeight="1">
      <c r="A730" s="126"/>
      <c r="N730" s="127"/>
    </row>
    <row r="731" ht="15.75" customHeight="1">
      <c r="A731" s="126"/>
      <c r="N731" s="127"/>
    </row>
    <row r="732" ht="15.75" customHeight="1">
      <c r="A732" s="126"/>
      <c r="N732" s="127"/>
    </row>
    <row r="733" ht="15.75" customHeight="1">
      <c r="A733" s="126"/>
      <c r="N733" s="127"/>
    </row>
    <row r="734" ht="15.75" customHeight="1">
      <c r="A734" s="126"/>
      <c r="N734" s="127"/>
    </row>
    <row r="735" ht="15.75" customHeight="1">
      <c r="A735" s="126"/>
      <c r="N735" s="127"/>
    </row>
    <row r="736" ht="15.75" customHeight="1">
      <c r="A736" s="126"/>
      <c r="N736" s="127"/>
    </row>
    <row r="737" ht="15.75" customHeight="1">
      <c r="A737" s="126"/>
      <c r="N737" s="127"/>
    </row>
    <row r="738" ht="15.75" customHeight="1">
      <c r="A738" s="126"/>
      <c r="N738" s="127"/>
    </row>
    <row r="739" ht="15.75" customHeight="1">
      <c r="A739" s="126"/>
      <c r="N739" s="127"/>
    </row>
    <row r="740" ht="15.75" customHeight="1">
      <c r="A740" s="126"/>
      <c r="N740" s="127"/>
    </row>
    <row r="741" ht="15.75" customHeight="1">
      <c r="A741" s="126"/>
      <c r="N741" s="127"/>
    </row>
    <row r="742" ht="15.75" customHeight="1">
      <c r="A742" s="126"/>
      <c r="N742" s="127"/>
    </row>
    <row r="743" ht="15.75" customHeight="1">
      <c r="A743" s="126"/>
      <c r="N743" s="127"/>
    </row>
    <row r="744" ht="15.75" customHeight="1">
      <c r="A744" s="126"/>
      <c r="N744" s="127"/>
    </row>
    <row r="745" ht="15.75" customHeight="1">
      <c r="A745" s="126"/>
      <c r="N745" s="127"/>
    </row>
    <row r="746" ht="15.75" customHeight="1">
      <c r="A746" s="126"/>
      <c r="N746" s="127"/>
    </row>
    <row r="747" ht="15.75" customHeight="1">
      <c r="A747" s="126"/>
      <c r="N747" s="127"/>
    </row>
    <row r="748" ht="15.75" customHeight="1">
      <c r="A748" s="126"/>
      <c r="N748" s="127"/>
    </row>
    <row r="749" ht="15.75" customHeight="1">
      <c r="A749" s="126"/>
      <c r="N749" s="127"/>
    </row>
    <row r="750" ht="15.75" customHeight="1">
      <c r="A750" s="126"/>
      <c r="N750" s="127"/>
    </row>
    <row r="751" ht="15.75" customHeight="1">
      <c r="A751" s="126"/>
      <c r="N751" s="127"/>
    </row>
    <row r="752" ht="15.75" customHeight="1">
      <c r="A752" s="126"/>
      <c r="N752" s="127"/>
    </row>
    <row r="753" ht="15.75" customHeight="1">
      <c r="A753" s="126"/>
      <c r="N753" s="127"/>
    </row>
    <row r="754" ht="15.75" customHeight="1">
      <c r="A754" s="126"/>
      <c r="N754" s="127"/>
    </row>
    <row r="755" ht="15.75" customHeight="1">
      <c r="A755" s="126"/>
      <c r="N755" s="127"/>
    </row>
    <row r="756" ht="15.75" customHeight="1">
      <c r="A756" s="126"/>
      <c r="N756" s="127"/>
    </row>
    <row r="757" ht="15.75" customHeight="1">
      <c r="A757" s="126"/>
      <c r="N757" s="127"/>
    </row>
    <row r="758" ht="15.75" customHeight="1">
      <c r="A758" s="126"/>
      <c r="N758" s="127"/>
    </row>
    <row r="759" ht="15.75" customHeight="1">
      <c r="A759" s="126"/>
      <c r="N759" s="127"/>
    </row>
    <row r="760" ht="15.75" customHeight="1">
      <c r="A760" s="126"/>
      <c r="N760" s="127"/>
    </row>
    <row r="761" ht="15.75" customHeight="1">
      <c r="A761" s="126"/>
      <c r="N761" s="127"/>
    </row>
    <row r="762" ht="15.75" customHeight="1">
      <c r="A762" s="126"/>
      <c r="N762" s="127"/>
    </row>
    <row r="763" ht="15.75" customHeight="1">
      <c r="A763" s="126"/>
      <c r="N763" s="127"/>
    </row>
    <row r="764" ht="15.75" customHeight="1">
      <c r="A764" s="126"/>
      <c r="N764" s="127"/>
    </row>
    <row r="765" ht="15.75" customHeight="1">
      <c r="A765" s="126"/>
      <c r="N765" s="127"/>
    </row>
    <row r="766" ht="15.75" customHeight="1">
      <c r="A766" s="126"/>
      <c r="N766" s="127"/>
    </row>
    <row r="767" ht="15.75" customHeight="1">
      <c r="A767" s="126"/>
      <c r="N767" s="127"/>
    </row>
    <row r="768" ht="15.75" customHeight="1">
      <c r="A768" s="126"/>
      <c r="N768" s="127"/>
    </row>
    <row r="769" ht="15.75" customHeight="1">
      <c r="A769" s="126"/>
      <c r="N769" s="127"/>
    </row>
    <row r="770" ht="15.75" customHeight="1">
      <c r="A770" s="126"/>
      <c r="N770" s="127"/>
    </row>
    <row r="771" ht="15.75" customHeight="1">
      <c r="A771" s="126"/>
      <c r="N771" s="127"/>
    </row>
    <row r="772" ht="15.75" customHeight="1">
      <c r="A772" s="126"/>
      <c r="N772" s="127"/>
    </row>
    <row r="773" ht="15.75" customHeight="1">
      <c r="A773" s="126"/>
      <c r="N773" s="127"/>
    </row>
    <row r="774" ht="15.75" customHeight="1">
      <c r="A774" s="126"/>
      <c r="N774" s="127"/>
    </row>
    <row r="775" ht="15.75" customHeight="1">
      <c r="A775" s="126"/>
      <c r="N775" s="127"/>
    </row>
    <row r="776" ht="15.75" customHeight="1">
      <c r="A776" s="126"/>
      <c r="N776" s="127"/>
    </row>
    <row r="777" ht="15.75" customHeight="1">
      <c r="A777" s="126"/>
      <c r="N777" s="127"/>
    </row>
    <row r="778" ht="15.75" customHeight="1">
      <c r="A778" s="126"/>
      <c r="N778" s="127"/>
    </row>
    <row r="779" ht="15.75" customHeight="1">
      <c r="A779" s="126"/>
      <c r="N779" s="127"/>
    </row>
    <row r="780" ht="15.75" customHeight="1">
      <c r="A780" s="126"/>
      <c r="N780" s="127"/>
    </row>
    <row r="781" ht="15.75" customHeight="1">
      <c r="A781" s="126"/>
      <c r="N781" s="127"/>
    </row>
    <row r="782" ht="15.75" customHeight="1">
      <c r="A782" s="126"/>
      <c r="N782" s="127"/>
    </row>
    <row r="783" ht="15.75" customHeight="1">
      <c r="A783" s="126"/>
      <c r="N783" s="127"/>
    </row>
    <row r="784" ht="15.75" customHeight="1">
      <c r="A784" s="126"/>
      <c r="N784" s="127"/>
    </row>
    <row r="785" ht="15.75" customHeight="1">
      <c r="A785" s="126"/>
      <c r="N785" s="127"/>
    </row>
    <row r="786" ht="15.75" customHeight="1">
      <c r="A786" s="126"/>
      <c r="N786" s="127"/>
    </row>
    <row r="787" ht="15.75" customHeight="1">
      <c r="A787" s="126"/>
      <c r="N787" s="127"/>
    </row>
    <row r="788" ht="15.75" customHeight="1">
      <c r="A788" s="126"/>
      <c r="N788" s="127"/>
    </row>
    <row r="789" ht="15.75" customHeight="1">
      <c r="A789" s="126"/>
      <c r="N789" s="127"/>
    </row>
    <row r="790" ht="15.75" customHeight="1">
      <c r="A790" s="126"/>
      <c r="N790" s="127"/>
    </row>
    <row r="791" ht="15.75" customHeight="1">
      <c r="A791" s="126"/>
      <c r="N791" s="127"/>
    </row>
    <row r="792" ht="15.75" customHeight="1">
      <c r="A792" s="126"/>
      <c r="N792" s="127"/>
    </row>
    <row r="793" ht="15.75" customHeight="1">
      <c r="A793" s="126"/>
      <c r="N793" s="127"/>
    </row>
    <row r="794" ht="15.75" customHeight="1">
      <c r="A794" s="126"/>
      <c r="N794" s="127"/>
    </row>
    <row r="795" ht="15.75" customHeight="1">
      <c r="A795" s="126"/>
      <c r="N795" s="127"/>
    </row>
    <row r="796" ht="15.75" customHeight="1">
      <c r="A796" s="126"/>
      <c r="N796" s="127"/>
    </row>
    <row r="797" ht="15.75" customHeight="1">
      <c r="A797" s="126"/>
      <c r="N797" s="127"/>
    </row>
    <row r="798" ht="15.75" customHeight="1">
      <c r="A798" s="126"/>
      <c r="N798" s="127"/>
    </row>
    <row r="799" ht="15.75" customHeight="1">
      <c r="A799" s="126"/>
      <c r="N799" s="127"/>
    </row>
    <row r="800" ht="15.75" customHeight="1">
      <c r="A800" s="126"/>
      <c r="N800" s="127"/>
    </row>
    <row r="801" ht="15.75" customHeight="1">
      <c r="A801" s="126"/>
      <c r="N801" s="127"/>
    </row>
    <row r="802" ht="15.75" customHeight="1">
      <c r="A802" s="126"/>
      <c r="N802" s="127"/>
    </row>
    <row r="803" ht="15.75" customHeight="1">
      <c r="A803" s="126"/>
      <c r="N803" s="127"/>
    </row>
    <row r="804" ht="15.75" customHeight="1">
      <c r="A804" s="126"/>
      <c r="N804" s="127"/>
    </row>
    <row r="805" ht="15.75" customHeight="1">
      <c r="A805" s="126"/>
      <c r="N805" s="127"/>
    </row>
    <row r="806" ht="15.75" customHeight="1">
      <c r="A806" s="126"/>
      <c r="N806" s="127"/>
    </row>
    <row r="807" ht="15.75" customHeight="1">
      <c r="A807" s="126"/>
      <c r="N807" s="127"/>
    </row>
    <row r="808" ht="15.75" customHeight="1">
      <c r="A808" s="126"/>
      <c r="N808" s="127"/>
    </row>
    <row r="809" ht="15.75" customHeight="1">
      <c r="A809" s="126"/>
      <c r="N809" s="127"/>
    </row>
    <row r="810" ht="15.75" customHeight="1">
      <c r="A810" s="126"/>
      <c r="N810" s="127"/>
    </row>
    <row r="811" ht="15.75" customHeight="1">
      <c r="A811" s="126"/>
      <c r="N811" s="127"/>
    </row>
    <row r="812" ht="15.75" customHeight="1">
      <c r="A812" s="126"/>
      <c r="N812" s="127"/>
    </row>
    <row r="813" ht="15.75" customHeight="1">
      <c r="A813" s="126"/>
      <c r="N813" s="127"/>
    </row>
    <row r="814" ht="15.75" customHeight="1">
      <c r="A814" s="126"/>
      <c r="N814" s="127"/>
    </row>
    <row r="815" ht="15.75" customHeight="1">
      <c r="A815" s="126"/>
      <c r="N815" s="127"/>
    </row>
    <row r="816" ht="15.75" customHeight="1">
      <c r="A816" s="126"/>
      <c r="N816" s="127"/>
    </row>
    <row r="817" ht="15.75" customHeight="1">
      <c r="A817" s="126"/>
      <c r="N817" s="127"/>
    </row>
    <row r="818" ht="15.75" customHeight="1">
      <c r="A818" s="126"/>
      <c r="N818" s="127"/>
    </row>
    <row r="819" ht="15.75" customHeight="1">
      <c r="A819" s="126"/>
      <c r="N819" s="127"/>
    </row>
    <row r="820" ht="15.75" customHeight="1">
      <c r="A820" s="126"/>
      <c r="N820" s="127"/>
    </row>
    <row r="821" ht="15.75" customHeight="1">
      <c r="A821" s="126"/>
      <c r="N821" s="127"/>
    </row>
    <row r="822" ht="15.75" customHeight="1">
      <c r="A822" s="126"/>
      <c r="N822" s="127"/>
    </row>
    <row r="823" ht="15.75" customHeight="1">
      <c r="A823" s="126"/>
      <c r="N823" s="127"/>
    </row>
    <row r="824" ht="15.75" customHeight="1">
      <c r="A824" s="126"/>
      <c r="N824" s="127"/>
    </row>
    <row r="825" ht="15.75" customHeight="1">
      <c r="A825" s="126"/>
      <c r="N825" s="127"/>
    </row>
    <row r="826" ht="15.75" customHeight="1">
      <c r="A826" s="126"/>
      <c r="N826" s="127"/>
    </row>
    <row r="827" ht="15.75" customHeight="1">
      <c r="A827" s="126"/>
      <c r="N827" s="127"/>
    </row>
    <row r="828" ht="15.75" customHeight="1">
      <c r="A828" s="126"/>
      <c r="N828" s="127"/>
    </row>
    <row r="829" ht="15.75" customHeight="1">
      <c r="A829" s="126"/>
      <c r="N829" s="127"/>
    </row>
    <row r="830" ht="15.75" customHeight="1">
      <c r="A830" s="126"/>
      <c r="N830" s="127"/>
    </row>
    <row r="831" ht="15.75" customHeight="1">
      <c r="A831" s="126"/>
      <c r="N831" s="127"/>
    </row>
    <row r="832" ht="15.75" customHeight="1">
      <c r="A832" s="126"/>
      <c r="N832" s="127"/>
    </row>
    <row r="833" ht="15.75" customHeight="1">
      <c r="A833" s="126"/>
      <c r="N833" s="127"/>
    </row>
    <row r="834" ht="15.75" customHeight="1">
      <c r="A834" s="126"/>
      <c r="N834" s="127"/>
    </row>
    <row r="835" ht="15.75" customHeight="1">
      <c r="A835" s="126"/>
      <c r="N835" s="127"/>
    </row>
    <row r="836" ht="15.75" customHeight="1">
      <c r="A836" s="126"/>
      <c r="N836" s="127"/>
    </row>
    <row r="837" ht="15.75" customHeight="1">
      <c r="A837" s="126"/>
      <c r="N837" s="127"/>
    </row>
    <row r="838" ht="15.75" customHeight="1">
      <c r="A838" s="126"/>
      <c r="N838" s="127"/>
    </row>
    <row r="839" ht="15.75" customHeight="1">
      <c r="A839" s="126"/>
      <c r="N839" s="127"/>
    </row>
    <row r="840" ht="15.75" customHeight="1">
      <c r="A840" s="126"/>
      <c r="N840" s="127"/>
    </row>
    <row r="841" ht="15.75" customHeight="1">
      <c r="A841" s="126"/>
      <c r="N841" s="127"/>
    </row>
    <row r="842" ht="15.75" customHeight="1">
      <c r="A842" s="126"/>
      <c r="N842" s="127"/>
    </row>
    <row r="843" ht="15.75" customHeight="1">
      <c r="A843" s="126"/>
      <c r="N843" s="127"/>
    </row>
    <row r="844" ht="15.75" customHeight="1">
      <c r="A844" s="126"/>
      <c r="N844" s="127"/>
    </row>
    <row r="845" ht="15.75" customHeight="1">
      <c r="A845" s="126"/>
      <c r="N845" s="127"/>
    </row>
    <row r="846" ht="15.75" customHeight="1">
      <c r="A846" s="126"/>
      <c r="N846" s="127"/>
    </row>
    <row r="847" ht="15.75" customHeight="1">
      <c r="A847" s="126"/>
      <c r="N847" s="127"/>
    </row>
    <row r="848" ht="15.75" customHeight="1">
      <c r="A848" s="126"/>
      <c r="N848" s="127"/>
    </row>
    <row r="849" ht="15.75" customHeight="1">
      <c r="A849" s="126"/>
      <c r="N849" s="127"/>
    </row>
    <row r="850" ht="15.75" customHeight="1">
      <c r="A850" s="126"/>
      <c r="N850" s="127"/>
    </row>
    <row r="851" ht="15.75" customHeight="1">
      <c r="A851" s="126"/>
      <c r="N851" s="127"/>
    </row>
    <row r="852" ht="15.75" customHeight="1">
      <c r="A852" s="126"/>
      <c r="N852" s="127"/>
    </row>
    <row r="853" ht="15.75" customHeight="1">
      <c r="A853" s="126"/>
      <c r="N853" s="127"/>
    </row>
    <row r="854" ht="15.75" customHeight="1">
      <c r="A854" s="126"/>
      <c r="N854" s="127"/>
    </row>
    <row r="855" ht="15.75" customHeight="1">
      <c r="A855" s="126"/>
      <c r="N855" s="127"/>
    </row>
    <row r="856" ht="15.75" customHeight="1">
      <c r="A856" s="126"/>
      <c r="N856" s="127"/>
    </row>
    <row r="857" ht="15.75" customHeight="1">
      <c r="A857" s="126"/>
      <c r="N857" s="127"/>
    </row>
    <row r="858" ht="15.75" customHeight="1">
      <c r="A858" s="126"/>
      <c r="N858" s="127"/>
    </row>
    <row r="859" ht="15.75" customHeight="1">
      <c r="A859" s="126"/>
      <c r="N859" s="127"/>
    </row>
    <row r="860" ht="15.75" customHeight="1">
      <c r="A860" s="126"/>
      <c r="N860" s="127"/>
    </row>
    <row r="861" ht="15.75" customHeight="1">
      <c r="A861" s="126"/>
      <c r="N861" s="127"/>
    </row>
    <row r="862" ht="15.75" customHeight="1">
      <c r="A862" s="126"/>
      <c r="N862" s="127"/>
    </row>
    <row r="863" ht="15.75" customHeight="1">
      <c r="A863" s="126"/>
      <c r="N863" s="127"/>
    </row>
    <row r="864" ht="15.75" customHeight="1">
      <c r="A864" s="126"/>
      <c r="N864" s="127"/>
    </row>
    <row r="865" ht="15.75" customHeight="1">
      <c r="A865" s="126"/>
      <c r="N865" s="127"/>
    </row>
    <row r="866" ht="15.75" customHeight="1">
      <c r="A866" s="126"/>
      <c r="N866" s="127"/>
    </row>
    <row r="867" ht="15.75" customHeight="1">
      <c r="A867" s="126"/>
      <c r="N867" s="127"/>
    </row>
    <row r="868" ht="15.75" customHeight="1">
      <c r="A868" s="126"/>
      <c r="N868" s="127"/>
    </row>
    <row r="869" ht="15.75" customHeight="1">
      <c r="A869" s="126"/>
      <c r="N869" s="127"/>
    </row>
    <row r="870" ht="15.75" customHeight="1">
      <c r="A870" s="126"/>
      <c r="N870" s="127"/>
    </row>
    <row r="871" ht="15.75" customHeight="1">
      <c r="A871" s="126"/>
      <c r="N871" s="127"/>
    </row>
    <row r="872" ht="15.75" customHeight="1">
      <c r="A872" s="126"/>
      <c r="N872" s="127"/>
    </row>
    <row r="873" ht="15.75" customHeight="1">
      <c r="A873" s="126"/>
      <c r="N873" s="127"/>
    </row>
    <row r="874" ht="15.75" customHeight="1">
      <c r="A874" s="126"/>
      <c r="N874" s="127"/>
    </row>
    <row r="875" ht="15.75" customHeight="1">
      <c r="A875" s="126"/>
      <c r="N875" s="127"/>
    </row>
    <row r="876" ht="15.75" customHeight="1">
      <c r="A876" s="126"/>
      <c r="N876" s="127"/>
    </row>
    <row r="877" ht="15.75" customHeight="1">
      <c r="A877" s="126"/>
      <c r="N877" s="127"/>
    </row>
    <row r="878" ht="15.75" customHeight="1">
      <c r="A878" s="126"/>
      <c r="N878" s="127"/>
    </row>
    <row r="879" ht="15.75" customHeight="1">
      <c r="A879" s="126"/>
      <c r="N879" s="127"/>
    </row>
    <row r="880" ht="15.75" customHeight="1">
      <c r="A880" s="126"/>
      <c r="N880" s="127"/>
    </row>
    <row r="881" ht="15.75" customHeight="1">
      <c r="A881" s="126"/>
      <c r="N881" s="127"/>
    </row>
    <row r="882" ht="15.75" customHeight="1">
      <c r="A882" s="126"/>
      <c r="N882" s="127"/>
    </row>
    <row r="883" ht="15.75" customHeight="1">
      <c r="A883" s="126"/>
      <c r="N883" s="127"/>
    </row>
    <row r="884" ht="15.75" customHeight="1">
      <c r="A884" s="126"/>
      <c r="N884" s="127"/>
    </row>
    <row r="885" ht="15.75" customHeight="1">
      <c r="A885" s="126"/>
      <c r="N885" s="127"/>
    </row>
    <row r="886" ht="15.75" customHeight="1">
      <c r="A886" s="126"/>
      <c r="N886" s="127"/>
    </row>
    <row r="887" ht="15.75" customHeight="1">
      <c r="A887" s="126"/>
      <c r="N887" s="127"/>
    </row>
    <row r="888" ht="15.75" customHeight="1">
      <c r="A888" s="126"/>
      <c r="N888" s="127"/>
    </row>
    <row r="889" ht="15.75" customHeight="1">
      <c r="A889" s="126"/>
      <c r="N889" s="127"/>
    </row>
    <row r="890" ht="15.75" customHeight="1">
      <c r="A890" s="126"/>
      <c r="N890" s="127"/>
    </row>
    <row r="891" ht="15.75" customHeight="1">
      <c r="A891" s="126"/>
      <c r="N891" s="127"/>
    </row>
    <row r="892" ht="15.75" customHeight="1">
      <c r="A892" s="126"/>
      <c r="N892" s="127"/>
    </row>
    <row r="893" ht="15.75" customHeight="1">
      <c r="A893" s="126"/>
      <c r="N893" s="127"/>
    </row>
    <row r="894" ht="15.75" customHeight="1">
      <c r="A894" s="126"/>
      <c r="N894" s="127"/>
    </row>
    <row r="895" ht="15.75" customHeight="1">
      <c r="A895" s="126"/>
      <c r="N895" s="127"/>
    </row>
    <row r="896" ht="15.75" customHeight="1">
      <c r="A896" s="126"/>
      <c r="N896" s="127"/>
    </row>
    <row r="897" ht="15.75" customHeight="1">
      <c r="A897" s="126"/>
      <c r="N897" s="127"/>
    </row>
    <row r="898" ht="15.75" customHeight="1">
      <c r="A898" s="126"/>
      <c r="N898" s="127"/>
    </row>
    <row r="899" ht="15.75" customHeight="1">
      <c r="A899" s="126"/>
      <c r="N899" s="127"/>
    </row>
    <row r="900" ht="15.75" customHeight="1">
      <c r="A900" s="126"/>
      <c r="N900" s="127"/>
    </row>
    <row r="901" ht="15.75" customHeight="1">
      <c r="A901" s="126"/>
      <c r="N901" s="127"/>
    </row>
    <row r="902" ht="15.75" customHeight="1">
      <c r="A902" s="126"/>
      <c r="N902" s="127"/>
    </row>
    <row r="903" ht="15.75" customHeight="1">
      <c r="A903" s="126"/>
      <c r="N903" s="127"/>
    </row>
    <row r="904" ht="15.75" customHeight="1">
      <c r="A904" s="126"/>
      <c r="N904" s="127"/>
    </row>
    <row r="905" ht="15.75" customHeight="1">
      <c r="A905" s="126"/>
      <c r="N905" s="127"/>
    </row>
    <row r="906" ht="15.75" customHeight="1">
      <c r="A906" s="126"/>
      <c r="N906" s="127"/>
    </row>
    <row r="907" ht="15.75" customHeight="1">
      <c r="A907" s="126"/>
      <c r="N907" s="127"/>
    </row>
    <row r="908" ht="15.75" customHeight="1">
      <c r="A908" s="126"/>
      <c r="N908" s="127"/>
    </row>
    <row r="909" ht="15.75" customHeight="1">
      <c r="A909" s="126"/>
      <c r="N909" s="127"/>
    </row>
    <row r="910" ht="15.75" customHeight="1">
      <c r="A910" s="126"/>
      <c r="N910" s="127"/>
    </row>
    <row r="911" ht="15.75" customHeight="1">
      <c r="A911" s="126"/>
      <c r="N911" s="127"/>
    </row>
    <row r="912" ht="15.75" customHeight="1">
      <c r="A912" s="126"/>
      <c r="N912" s="127"/>
    </row>
    <row r="913" ht="15.75" customHeight="1">
      <c r="A913" s="126"/>
      <c r="N913" s="127"/>
    </row>
    <row r="914" ht="15.75" customHeight="1">
      <c r="A914" s="126"/>
      <c r="N914" s="127"/>
    </row>
    <row r="915" ht="15.75" customHeight="1">
      <c r="A915" s="126"/>
      <c r="N915" s="127"/>
    </row>
    <row r="916" ht="15.75" customHeight="1">
      <c r="A916" s="126"/>
      <c r="N916" s="127"/>
    </row>
    <row r="917" ht="15.75" customHeight="1">
      <c r="A917" s="126"/>
      <c r="N917" s="127"/>
    </row>
    <row r="918" ht="15.75" customHeight="1">
      <c r="A918" s="126"/>
      <c r="N918" s="127"/>
    </row>
    <row r="919" ht="15.75" customHeight="1">
      <c r="A919" s="126"/>
      <c r="N919" s="127"/>
    </row>
    <row r="920" ht="15.75" customHeight="1">
      <c r="A920" s="126"/>
      <c r="N920" s="127"/>
    </row>
    <row r="921" ht="15.75" customHeight="1">
      <c r="A921" s="126"/>
      <c r="N921" s="127"/>
    </row>
    <row r="922" ht="15.75" customHeight="1">
      <c r="A922" s="126"/>
      <c r="N922" s="127"/>
    </row>
    <row r="923" ht="15.75" customHeight="1">
      <c r="A923" s="126"/>
      <c r="N923" s="127"/>
    </row>
    <row r="924" ht="15.75" customHeight="1">
      <c r="A924" s="126"/>
      <c r="N924" s="127"/>
    </row>
    <row r="925" ht="15.75" customHeight="1">
      <c r="A925" s="126"/>
      <c r="N925" s="127"/>
    </row>
    <row r="926" ht="15.75" customHeight="1">
      <c r="A926" s="126"/>
      <c r="N926" s="127"/>
    </row>
    <row r="927" ht="15.75" customHeight="1">
      <c r="A927" s="126"/>
      <c r="N927" s="127"/>
    </row>
    <row r="928" ht="15.75" customHeight="1">
      <c r="A928" s="126"/>
      <c r="N928" s="127"/>
    </row>
    <row r="929" ht="15.75" customHeight="1">
      <c r="A929" s="126"/>
      <c r="N929" s="127"/>
    </row>
    <row r="930" ht="15.75" customHeight="1">
      <c r="A930" s="126"/>
      <c r="N930" s="127"/>
    </row>
    <row r="931" ht="15.75" customHeight="1">
      <c r="A931" s="126"/>
      <c r="N931" s="127"/>
    </row>
    <row r="932" ht="15.75" customHeight="1">
      <c r="A932" s="126"/>
      <c r="N932" s="127"/>
    </row>
    <row r="933" ht="15.75" customHeight="1">
      <c r="A933" s="126"/>
      <c r="N933" s="127"/>
    </row>
    <row r="934" ht="15.75" customHeight="1">
      <c r="A934" s="126"/>
      <c r="N934" s="127"/>
    </row>
    <row r="935" ht="15.75" customHeight="1">
      <c r="A935" s="126"/>
      <c r="N935" s="127"/>
    </row>
    <row r="936" ht="15.75" customHeight="1">
      <c r="A936" s="126"/>
      <c r="N936" s="127"/>
    </row>
    <row r="937" ht="15.75" customHeight="1">
      <c r="A937" s="126"/>
      <c r="N937" s="127"/>
    </row>
    <row r="938" ht="15.75" customHeight="1">
      <c r="A938" s="126"/>
      <c r="N938" s="127"/>
    </row>
    <row r="939" ht="15.75" customHeight="1">
      <c r="A939" s="126"/>
      <c r="N939" s="127"/>
    </row>
    <row r="940" ht="15.75" customHeight="1">
      <c r="A940" s="126"/>
      <c r="N940" s="127"/>
    </row>
    <row r="941" ht="15.75" customHeight="1">
      <c r="A941" s="126"/>
      <c r="N941" s="127"/>
    </row>
    <row r="942" ht="15.75" customHeight="1">
      <c r="A942" s="126"/>
      <c r="N942" s="127"/>
    </row>
    <row r="943" ht="15.75" customHeight="1">
      <c r="A943" s="126"/>
      <c r="N943" s="127"/>
    </row>
    <row r="944" ht="15.75" customHeight="1">
      <c r="A944" s="126"/>
      <c r="N944" s="127"/>
    </row>
    <row r="945" ht="15.75" customHeight="1">
      <c r="A945" s="126"/>
      <c r="N945" s="127"/>
    </row>
    <row r="946" ht="15.75" customHeight="1">
      <c r="A946" s="126"/>
      <c r="N946" s="127"/>
    </row>
    <row r="947" ht="15.75" customHeight="1">
      <c r="A947" s="126"/>
      <c r="N947" s="127"/>
    </row>
    <row r="948" ht="15.75" customHeight="1">
      <c r="A948" s="126"/>
      <c r="N948" s="127"/>
    </row>
    <row r="949" ht="15.75" customHeight="1">
      <c r="A949" s="126"/>
      <c r="N949" s="127"/>
    </row>
    <row r="950" ht="15.75" customHeight="1">
      <c r="A950" s="126"/>
      <c r="N950" s="127"/>
    </row>
    <row r="951" ht="15.75" customHeight="1">
      <c r="A951" s="126"/>
      <c r="N951" s="127"/>
    </row>
    <row r="952" ht="15.75" customHeight="1">
      <c r="A952" s="126"/>
      <c r="N952" s="127"/>
    </row>
    <row r="953" ht="15.75" customHeight="1">
      <c r="A953" s="126"/>
      <c r="N953" s="127"/>
    </row>
    <row r="954" ht="15.75" customHeight="1">
      <c r="A954" s="126"/>
      <c r="N954" s="127"/>
    </row>
    <row r="955" ht="15.75" customHeight="1">
      <c r="A955" s="126"/>
      <c r="N955" s="127"/>
    </row>
    <row r="956" ht="15.75" customHeight="1">
      <c r="A956" s="126"/>
      <c r="N956" s="127"/>
    </row>
    <row r="957" ht="15.75" customHeight="1">
      <c r="A957" s="126"/>
      <c r="N957" s="127"/>
    </row>
    <row r="958" ht="15.75" customHeight="1">
      <c r="A958" s="126"/>
      <c r="N958" s="127"/>
    </row>
    <row r="959" ht="15.75" customHeight="1">
      <c r="A959" s="126"/>
      <c r="N959" s="127"/>
    </row>
    <row r="960" ht="15.75" customHeight="1">
      <c r="A960" s="126"/>
      <c r="N960" s="127"/>
    </row>
    <row r="961" ht="15.75" customHeight="1">
      <c r="A961" s="126"/>
      <c r="N961" s="127"/>
    </row>
    <row r="962" ht="15.75" customHeight="1">
      <c r="A962" s="126"/>
      <c r="N962" s="127"/>
    </row>
    <row r="963" ht="15.75" customHeight="1">
      <c r="A963" s="126"/>
      <c r="N963" s="127"/>
    </row>
    <row r="964" ht="15.75" customHeight="1">
      <c r="A964" s="126"/>
      <c r="N964" s="127"/>
    </row>
    <row r="965" ht="15.75" customHeight="1">
      <c r="A965" s="126"/>
      <c r="N965" s="127"/>
    </row>
    <row r="966" ht="15.75" customHeight="1">
      <c r="A966" s="126"/>
      <c r="N966" s="127"/>
    </row>
    <row r="967" ht="15.75" customHeight="1">
      <c r="A967" s="126"/>
      <c r="N967" s="127"/>
    </row>
    <row r="968" ht="15.75" customHeight="1">
      <c r="A968" s="126"/>
      <c r="N968" s="127"/>
    </row>
    <row r="969" ht="15.75" customHeight="1">
      <c r="A969" s="126"/>
      <c r="N969" s="127"/>
    </row>
    <row r="970" ht="15.75" customHeight="1">
      <c r="A970" s="126"/>
      <c r="N970" s="127"/>
    </row>
    <row r="971" ht="15.75" customHeight="1">
      <c r="A971" s="126"/>
      <c r="N971" s="127"/>
    </row>
    <row r="972" ht="15.75" customHeight="1">
      <c r="A972" s="126"/>
      <c r="N972" s="127"/>
    </row>
    <row r="973" ht="15.75" customHeight="1">
      <c r="A973" s="126"/>
      <c r="N973" s="127"/>
    </row>
    <row r="974" ht="15.75" customHeight="1">
      <c r="A974" s="126"/>
      <c r="N974" s="127"/>
    </row>
    <row r="975" ht="15.75" customHeight="1">
      <c r="A975" s="126"/>
      <c r="N975" s="127"/>
    </row>
    <row r="976" ht="15.75" customHeight="1">
      <c r="A976" s="126"/>
      <c r="N976" s="127"/>
    </row>
    <row r="977" ht="15.75" customHeight="1">
      <c r="A977" s="126"/>
      <c r="N977" s="127"/>
    </row>
    <row r="978" ht="15.75" customHeight="1">
      <c r="A978" s="126"/>
      <c r="N978" s="127"/>
    </row>
    <row r="979" ht="15.75" customHeight="1">
      <c r="A979" s="126"/>
      <c r="N979" s="127"/>
    </row>
    <row r="980" ht="15.75" customHeight="1">
      <c r="A980" s="126"/>
      <c r="N980" s="127"/>
    </row>
    <row r="981" ht="15.75" customHeight="1">
      <c r="A981" s="126"/>
      <c r="N981" s="127"/>
    </row>
    <row r="982" ht="15.75" customHeight="1">
      <c r="A982" s="126"/>
      <c r="N982" s="127"/>
    </row>
    <row r="983" ht="15.75" customHeight="1">
      <c r="A983" s="126"/>
      <c r="N983" s="127"/>
    </row>
    <row r="984" ht="15.75" customHeight="1">
      <c r="A984" s="126"/>
      <c r="N984" s="127"/>
    </row>
    <row r="985" ht="15.75" customHeight="1">
      <c r="A985" s="126"/>
      <c r="N985" s="127"/>
    </row>
    <row r="986" ht="15.75" customHeight="1">
      <c r="A986" s="126"/>
      <c r="N986" s="127"/>
    </row>
    <row r="987" ht="15.75" customHeight="1">
      <c r="A987" s="126"/>
      <c r="N987" s="127"/>
    </row>
    <row r="988" ht="15.75" customHeight="1">
      <c r="A988" s="126"/>
      <c r="N988" s="127"/>
    </row>
    <row r="989" ht="15.75" customHeight="1">
      <c r="A989" s="126"/>
      <c r="N989" s="127"/>
    </row>
    <row r="990" ht="15.75" customHeight="1">
      <c r="A990" s="126"/>
      <c r="N990" s="127"/>
    </row>
    <row r="991" ht="15.75" customHeight="1">
      <c r="A991" s="126"/>
      <c r="N991" s="127"/>
    </row>
    <row r="992" ht="15.75" customHeight="1">
      <c r="A992" s="126"/>
      <c r="N992" s="127"/>
    </row>
    <row r="993" ht="15.75" customHeight="1">
      <c r="A993" s="126"/>
      <c r="N993" s="127"/>
    </row>
    <row r="994" ht="15.75" customHeight="1">
      <c r="A994" s="126"/>
      <c r="N994" s="127"/>
    </row>
    <row r="995" ht="15.75" customHeight="1">
      <c r="A995" s="126"/>
      <c r="N995" s="127"/>
    </row>
    <row r="996" ht="15.75" customHeight="1">
      <c r="A996" s="126"/>
      <c r="N996" s="127"/>
    </row>
    <row r="997" ht="15.75" customHeight="1">
      <c r="A997" s="126"/>
      <c r="N997" s="127"/>
    </row>
    <row r="998" ht="15.75" customHeight="1">
      <c r="A998" s="126"/>
      <c r="N998" s="127"/>
    </row>
    <row r="999" ht="15.75" customHeight="1">
      <c r="A999" s="126"/>
      <c r="N999" s="127"/>
    </row>
    <row r="1000" ht="15.75" customHeight="1">
      <c r="A1000" s="126"/>
      <c r="N1000" s="127"/>
    </row>
    <row r="1001" ht="15.75" customHeight="1">
      <c r="A1001" s="126"/>
      <c r="N1001" s="127"/>
    </row>
    <row r="1002" ht="15.75" customHeight="1">
      <c r="A1002" s="126"/>
      <c r="N1002" s="127"/>
    </row>
    <row r="1003" ht="15.75" customHeight="1">
      <c r="A1003" s="126"/>
      <c r="N1003" s="127"/>
    </row>
    <row r="1004" ht="15.75" customHeight="1">
      <c r="A1004" s="126"/>
      <c r="N1004" s="127"/>
    </row>
    <row r="1005" ht="15.75" customHeight="1">
      <c r="A1005" s="126"/>
      <c r="N1005" s="127"/>
    </row>
    <row r="1006" ht="15.75" customHeight="1">
      <c r="A1006" s="126"/>
      <c r="N1006" s="127"/>
    </row>
    <row r="1007" ht="15.75" customHeight="1">
      <c r="A1007" s="126"/>
      <c r="N1007" s="127"/>
    </row>
    <row r="1008" ht="15.75" customHeight="1">
      <c r="A1008" s="126"/>
      <c r="N1008" s="127"/>
    </row>
    <row r="1009" ht="15.75" customHeight="1">
      <c r="A1009" s="126"/>
      <c r="N1009" s="127"/>
    </row>
    <row r="1010" ht="15.75" customHeight="1">
      <c r="A1010" s="126"/>
      <c r="N1010" s="127"/>
    </row>
    <row r="1011" ht="15.75" customHeight="1">
      <c r="A1011" s="126"/>
      <c r="N1011" s="127"/>
    </row>
    <row r="1012" ht="15.75" customHeight="1">
      <c r="A1012" s="126"/>
      <c r="N1012" s="127"/>
    </row>
    <row r="1013" ht="15.75" customHeight="1">
      <c r="A1013" s="126"/>
      <c r="N1013" s="127"/>
    </row>
    <row r="1014" ht="15.75" customHeight="1">
      <c r="A1014" s="126"/>
      <c r="N1014" s="127"/>
    </row>
    <row r="1015" ht="15.75" customHeight="1">
      <c r="A1015" s="126"/>
      <c r="N1015" s="127"/>
    </row>
    <row r="1016" ht="15.75" customHeight="1">
      <c r="A1016" s="126"/>
      <c r="N1016" s="127"/>
    </row>
    <row r="1017" ht="15.75" customHeight="1">
      <c r="A1017" s="126"/>
      <c r="N1017" s="127"/>
    </row>
    <row r="1018" ht="15.75" customHeight="1">
      <c r="A1018" s="126"/>
      <c r="N1018" s="127"/>
    </row>
    <row r="1019" ht="15.75" customHeight="1">
      <c r="A1019" s="126"/>
      <c r="N1019" s="127"/>
    </row>
    <row r="1020" ht="15.75" customHeight="1">
      <c r="A1020" s="126"/>
      <c r="N1020" s="127"/>
    </row>
    <row r="1021" ht="15.75" customHeight="1">
      <c r="A1021" s="126"/>
      <c r="N1021" s="127"/>
    </row>
    <row r="1022" ht="15.75" customHeight="1">
      <c r="A1022" s="126"/>
      <c r="N1022" s="127"/>
    </row>
    <row r="1023" ht="15.75" customHeight="1">
      <c r="A1023" s="126"/>
      <c r="N1023" s="127"/>
    </row>
    <row r="1024" ht="15.75" customHeight="1">
      <c r="A1024" s="126"/>
      <c r="N1024" s="127"/>
    </row>
    <row r="1025" ht="15.75" customHeight="1">
      <c r="A1025" s="126"/>
      <c r="N1025" s="127"/>
    </row>
    <row r="1026" ht="15.75" customHeight="1">
      <c r="A1026" s="126"/>
      <c r="N1026" s="127"/>
    </row>
    <row r="1027" ht="15.75" customHeight="1">
      <c r="A1027" s="126"/>
      <c r="N1027" s="127"/>
    </row>
    <row r="1028" ht="15.75" customHeight="1">
      <c r="A1028" s="126"/>
      <c r="N1028" s="127"/>
    </row>
    <row r="1029" ht="15.75" customHeight="1">
      <c r="A1029" s="126"/>
      <c r="N1029" s="127"/>
    </row>
    <row r="1030" ht="15.75" customHeight="1">
      <c r="A1030" s="126"/>
      <c r="N1030" s="127"/>
    </row>
    <row r="1031" ht="15.75" customHeight="1">
      <c r="A1031" s="126"/>
      <c r="N1031" s="127"/>
    </row>
    <row r="1032" ht="15.75" customHeight="1">
      <c r="A1032" s="126"/>
      <c r="N1032" s="127"/>
    </row>
    <row r="1033" ht="15.75" customHeight="1">
      <c r="A1033" s="126"/>
      <c r="N1033" s="127"/>
    </row>
    <row r="1034" ht="15.75" customHeight="1">
      <c r="A1034" s="126"/>
      <c r="N1034" s="127"/>
    </row>
    <row r="1035" ht="15.75" customHeight="1">
      <c r="A1035" s="126"/>
      <c r="N1035" s="127"/>
    </row>
    <row r="1036" ht="15.75" customHeight="1">
      <c r="A1036" s="126"/>
      <c r="N1036" s="127"/>
    </row>
    <row r="1037" ht="15.75" customHeight="1">
      <c r="A1037" s="126"/>
      <c r="N1037" s="127"/>
    </row>
    <row r="1038" ht="15.75" customHeight="1">
      <c r="A1038" s="126"/>
      <c r="N1038" s="127"/>
    </row>
    <row r="1039" ht="15.75" customHeight="1">
      <c r="A1039" s="126"/>
      <c r="N1039" s="127"/>
    </row>
    <row r="1040" ht="15.75" customHeight="1">
      <c r="A1040" s="126"/>
      <c r="N1040" s="127"/>
    </row>
    <row r="1041" ht="15.75" customHeight="1">
      <c r="A1041" s="126"/>
      <c r="N1041" s="127"/>
    </row>
    <row r="1042" ht="15.75" customHeight="1">
      <c r="A1042" s="126"/>
      <c r="N1042" s="127"/>
    </row>
    <row r="1043" ht="15.75" customHeight="1">
      <c r="A1043" s="126"/>
      <c r="N1043" s="127"/>
    </row>
    <row r="1044" ht="15.75" customHeight="1">
      <c r="A1044" s="126"/>
      <c r="N1044" s="127"/>
    </row>
    <row r="1045" ht="15.75" customHeight="1">
      <c r="A1045" s="126"/>
      <c r="N1045" s="127"/>
    </row>
    <row r="1046" ht="15.75" customHeight="1">
      <c r="A1046" s="126"/>
      <c r="N1046" s="127"/>
    </row>
    <row r="1047" ht="15.75" customHeight="1">
      <c r="A1047" s="126"/>
      <c r="N1047" s="127"/>
    </row>
    <row r="1048" ht="15.75" customHeight="1">
      <c r="A1048" s="126"/>
      <c r="N1048" s="127"/>
    </row>
    <row r="1049" ht="15.75" customHeight="1">
      <c r="A1049" s="126"/>
      <c r="N1049" s="127"/>
    </row>
    <row r="1050" ht="15.75" customHeight="1">
      <c r="A1050" s="126"/>
      <c r="N1050" s="127"/>
    </row>
    <row r="1051" ht="15.75" customHeight="1">
      <c r="A1051" s="126"/>
      <c r="N1051" s="127"/>
    </row>
    <row r="1052" ht="15.75" customHeight="1">
      <c r="A1052" s="126"/>
      <c r="N1052" s="127"/>
    </row>
    <row r="1053" ht="15.75" customHeight="1">
      <c r="A1053" s="126"/>
      <c r="N1053" s="127"/>
    </row>
    <row r="1054" ht="15.75" customHeight="1">
      <c r="A1054" s="126"/>
      <c r="N1054" s="127"/>
    </row>
    <row r="1055" ht="15.75" customHeight="1">
      <c r="A1055" s="126"/>
      <c r="N1055" s="127"/>
    </row>
    <row r="1056" ht="15.75" customHeight="1">
      <c r="A1056" s="126"/>
      <c r="N1056" s="127"/>
    </row>
    <row r="1057" ht="15.75" customHeight="1">
      <c r="A1057" s="126"/>
      <c r="N1057" s="127"/>
    </row>
    <row r="1058" ht="15.75" customHeight="1">
      <c r="A1058" s="126"/>
      <c r="N1058" s="127"/>
    </row>
    <row r="1059" ht="15.75" customHeight="1">
      <c r="A1059" s="126"/>
      <c r="N1059" s="127"/>
    </row>
    <row r="1060" ht="15.75" customHeight="1">
      <c r="A1060" s="126"/>
      <c r="N1060" s="127"/>
    </row>
    <row r="1061" ht="15.75" customHeight="1">
      <c r="A1061" s="126"/>
      <c r="N1061" s="127"/>
    </row>
    <row r="1062" ht="15.75" customHeight="1">
      <c r="A1062" s="126"/>
      <c r="N1062" s="127"/>
    </row>
    <row r="1063" ht="15.75" customHeight="1">
      <c r="A1063" s="126"/>
      <c r="N1063" s="127"/>
    </row>
    <row r="1064" ht="15.75" customHeight="1">
      <c r="A1064" s="126"/>
      <c r="N1064" s="127"/>
    </row>
    <row r="1065" ht="15.75" customHeight="1">
      <c r="A1065" s="126"/>
      <c r="N1065" s="127"/>
    </row>
    <row r="1066" ht="15.75" customHeight="1">
      <c r="A1066" s="126"/>
      <c r="N1066" s="127"/>
    </row>
    <row r="1067" ht="15.75" customHeight="1">
      <c r="A1067" s="126"/>
      <c r="N1067" s="127"/>
    </row>
    <row r="1068" ht="15.75" customHeight="1">
      <c r="A1068" s="126"/>
      <c r="N1068" s="127"/>
    </row>
    <row r="1069" ht="15.75" customHeight="1">
      <c r="A1069" s="126"/>
      <c r="N1069" s="127"/>
    </row>
    <row r="1070" ht="15.75" customHeight="1">
      <c r="A1070" s="126"/>
      <c r="N1070" s="127"/>
    </row>
    <row r="1071" ht="15.75" customHeight="1">
      <c r="A1071" s="126"/>
      <c r="N1071" s="127"/>
    </row>
    <row r="1072" ht="15.75" customHeight="1">
      <c r="A1072" s="126"/>
      <c r="N1072" s="127"/>
    </row>
    <row r="1073" ht="15.75" customHeight="1">
      <c r="A1073" s="126"/>
      <c r="N1073" s="127"/>
    </row>
    <row r="1074" ht="15.75" customHeight="1">
      <c r="A1074" s="126"/>
      <c r="N1074" s="127"/>
    </row>
    <row r="1075" ht="15.75" customHeight="1">
      <c r="A1075" s="126"/>
      <c r="N1075" s="127"/>
    </row>
    <row r="1076" ht="15.75" customHeight="1">
      <c r="A1076" s="126"/>
      <c r="N1076" s="127"/>
    </row>
    <row r="1077" ht="15.75" customHeight="1">
      <c r="A1077" s="126"/>
      <c r="N1077" s="127"/>
    </row>
    <row r="1078" ht="15.75" customHeight="1">
      <c r="A1078" s="126"/>
      <c r="N1078" s="127"/>
    </row>
    <row r="1079" ht="15.75" customHeight="1">
      <c r="A1079" s="126"/>
      <c r="N1079" s="127"/>
    </row>
    <row r="1080" ht="15.75" customHeight="1">
      <c r="A1080" s="126"/>
      <c r="N1080" s="127"/>
    </row>
    <row r="1081" ht="15.75" customHeight="1">
      <c r="A1081" s="126"/>
      <c r="N1081" s="127"/>
    </row>
    <row r="1082" ht="15.75" customHeight="1">
      <c r="A1082" s="126"/>
      <c r="N1082" s="127"/>
    </row>
    <row r="1083" ht="15.75" customHeight="1">
      <c r="A1083" s="126"/>
      <c r="N1083" s="127"/>
    </row>
    <row r="1084" ht="15.75" customHeight="1">
      <c r="A1084" s="126"/>
      <c r="N1084" s="127"/>
    </row>
    <row r="1085" ht="15.75" customHeight="1">
      <c r="A1085" s="126"/>
      <c r="N1085" s="127"/>
    </row>
    <row r="1086" ht="15.75" customHeight="1">
      <c r="A1086" s="126"/>
      <c r="N1086" s="127"/>
    </row>
    <row r="1087" ht="15.75" customHeight="1">
      <c r="A1087" s="126"/>
      <c r="N1087" s="127"/>
    </row>
    <row r="1088" ht="15.75" customHeight="1">
      <c r="A1088" s="126"/>
      <c r="N1088" s="127"/>
    </row>
    <row r="1089" ht="15.75" customHeight="1">
      <c r="A1089" s="126"/>
      <c r="N1089" s="127"/>
    </row>
    <row r="1090" ht="15.75" customHeight="1">
      <c r="A1090" s="126"/>
      <c r="N1090" s="127"/>
    </row>
    <row r="1091" ht="15.75" customHeight="1">
      <c r="A1091" s="126"/>
      <c r="N1091" s="127"/>
    </row>
    <row r="1092" ht="15.75" customHeight="1">
      <c r="A1092" s="126"/>
      <c r="N1092" s="127"/>
    </row>
    <row r="1093" ht="15.75" customHeight="1">
      <c r="A1093" s="126"/>
      <c r="N1093" s="127"/>
    </row>
    <row r="1094" ht="15.75" customHeight="1">
      <c r="A1094" s="126"/>
      <c r="N1094" s="127"/>
    </row>
    <row r="1095" ht="15.75" customHeight="1">
      <c r="A1095" s="126"/>
      <c r="N1095" s="127"/>
    </row>
    <row r="1096" ht="15.75" customHeight="1">
      <c r="A1096" s="126"/>
      <c r="N1096" s="127"/>
    </row>
    <row r="1097" ht="15.75" customHeight="1">
      <c r="A1097" s="126"/>
      <c r="N1097" s="127"/>
    </row>
    <row r="1098" ht="15.75" customHeight="1">
      <c r="A1098" s="126"/>
      <c r="N1098" s="127"/>
    </row>
    <row r="1099" ht="15.75" customHeight="1">
      <c r="A1099" s="126"/>
      <c r="N1099" s="127"/>
    </row>
    <row r="1100" ht="15.75" customHeight="1">
      <c r="A1100" s="126"/>
      <c r="N1100" s="127"/>
    </row>
    <row r="1101" ht="15.75" customHeight="1">
      <c r="A1101" s="126"/>
      <c r="N1101" s="127"/>
    </row>
    <row r="1102" ht="15.75" customHeight="1">
      <c r="A1102" s="126"/>
      <c r="N1102" s="127"/>
    </row>
    <row r="1103" ht="15.75" customHeight="1">
      <c r="A1103" s="126"/>
      <c r="N1103" s="127"/>
    </row>
    <row r="1104" ht="15.75" customHeight="1">
      <c r="A1104" s="126"/>
      <c r="N1104" s="127"/>
    </row>
    <row r="1105" ht="15.75" customHeight="1">
      <c r="A1105" s="126"/>
      <c r="N1105" s="127"/>
    </row>
    <row r="1106" ht="15.75" customHeight="1">
      <c r="A1106" s="126"/>
      <c r="N1106" s="127"/>
    </row>
    <row r="1107" ht="15.75" customHeight="1">
      <c r="A1107" s="126"/>
      <c r="N1107" s="127"/>
    </row>
    <row r="1108" ht="15.75" customHeight="1">
      <c r="A1108" s="126"/>
      <c r="N1108" s="127"/>
    </row>
    <row r="1109" ht="15.75" customHeight="1">
      <c r="A1109" s="126"/>
      <c r="N1109" s="127"/>
    </row>
    <row r="1110" ht="15.75" customHeight="1">
      <c r="A1110" s="126"/>
      <c r="N1110" s="127"/>
    </row>
    <row r="1111" ht="15.75" customHeight="1">
      <c r="A1111" s="126"/>
      <c r="N1111" s="127"/>
    </row>
    <row r="1112" ht="15.75" customHeight="1">
      <c r="A1112" s="126"/>
      <c r="N1112" s="127"/>
    </row>
    <row r="1113" ht="15.75" customHeight="1">
      <c r="A1113" s="126"/>
      <c r="N1113" s="127"/>
    </row>
    <row r="1114" ht="15.75" customHeight="1">
      <c r="A1114" s="126"/>
      <c r="N1114" s="127"/>
    </row>
    <row r="1115" ht="15.75" customHeight="1">
      <c r="A1115" s="126"/>
      <c r="N1115" s="127"/>
    </row>
    <row r="1116" ht="15.75" customHeight="1">
      <c r="A1116" s="126"/>
      <c r="N1116" s="127"/>
    </row>
    <row r="1117" ht="15.75" customHeight="1">
      <c r="A1117" s="126"/>
      <c r="N1117" s="127"/>
    </row>
    <row r="1118" ht="15.75" customHeight="1">
      <c r="A1118" s="126"/>
      <c r="N1118" s="127"/>
    </row>
    <row r="1119" ht="15.75" customHeight="1">
      <c r="A1119" s="126"/>
      <c r="N1119" s="127"/>
    </row>
    <row r="1120" ht="15.75" customHeight="1">
      <c r="A1120" s="126"/>
      <c r="N1120" s="127"/>
    </row>
    <row r="1121" ht="15.75" customHeight="1">
      <c r="A1121" s="126"/>
      <c r="N1121" s="127"/>
    </row>
    <row r="1122" ht="15.75" customHeight="1">
      <c r="A1122" s="126"/>
      <c r="N1122" s="127"/>
    </row>
    <row r="1123" ht="15.75" customHeight="1">
      <c r="A1123" s="126"/>
      <c r="N1123" s="127"/>
    </row>
    <row r="1124" ht="15.75" customHeight="1">
      <c r="A1124" s="126"/>
      <c r="N1124" s="127"/>
    </row>
    <row r="1125" ht="15.75" customHeight="1">
      <c r="A1125" s="126"/>
      <c r="N1125" s="127"/>
    </row>
    <row r="1126" ht="15.75" customHeight="1">
      <c r="A1126" s="126"/>
      <c r="N1126" s="127"/>
    </row>
    <row r="1127" ht="15.75" customHeight="1">
      <c r="A1127" s="126"/>
      <c r="N1127" s="127"/>
    </row>
    <row r="1128" ht="15.75" customHeight="1">
      <c r="A1128" s="126"/>
      <c r="N1128" s="127"/>
    </row>
    <row r="1129" ht="15.75" customHeight="1">
      <c r="A1129" s="126"/>
      <c r="N1129" s="127"/>
    </row>
    <row r="1130" ht="15.75" customHeight="1">
      <c r="A1130" s="126"/>
      <c r="N1130" s="127"/>
    </row>
    <row r="1131" ht="15.75" customHeight="1">
      <c r="A1131" s="126"/>
      <c r="N1131" s="127"/>
    </row>
    <row r="1132" ht="15.75" customHeight="1">
      <c r="A1132" s="126"/>
      <c r="N1132" s="127"/>
    </row>
    <row r="1133" ht="15.75" customHeight="1">
      <c r="A1133" s="126"/>
      <c r="N1133" s="127"/>
    </row>
    <row r="1134" ht="15.75" customHeight="1">
      <c r="A1134" s="126"/>
      <c r="N1134" s="127"/>
    </row>
    <row r="1135" ht="15.75" customHeight="1">
      <c r="A1135" s="126"/>
      <c r="N1135" s="127"/>
    </row>
    <row r="1136" ht="15.75" customHeight="1">
      <c r="A1136" s="126"/>
      <c r="N1136" s="127"/>
    </row>
    <row r="1137" ht="15.75" customHeight="1">
      <c r="A1137" s="126"/>
      <c r="N1137" s="127"/>
    </row>
    <row r="1138" ht="15.75" customHeight="1">
      <c r="A1138" s="126"/>
      <c r="N1138" s="127"/>
    </row>
    <row r="1139" ht="15.75" customHeight="1">
      <c r="A1139" s="126"/>
      <c r="N1139" s="127"/>
    </row>
    <row r="1140" ht="15.75" customHeight="1">
      <c r="A1140" s="126"/>
      <c r="N1140" s="127"/>
    </row>
    <row r="1141" ht="15.75" customHeight="1">
      <c r="A1141" s="126"/>
      <c r="N1141" s="127"/>
    </row>
    <row r="1142" ht="15.75" customHeight="1">
      <c r="A1142" s="126"/>
      <c r="N1142" s="127"/>
    </row>
    <row r="1143" ht="15.75" customHeight="1">
      <c r="A1143" s="126"/>
      <c r="N1143" s="127"/>
    </row>
    <row r="1144" ht="15.75" customHeight="1">
      <c r="A1144" s="126"/>
      <c r="N1144" s="127"/>
    </row>
    <row r="1145" ht="15.75" customHeight="1">
      <c r="A1145" s="126"/>
      <c r="N1145" s="127"/>
    </row>
    <row r="1146" ht="15.75" customHeight="1">
      <c r="A1146" s="126"/>
      <c r="N1146" s="127"/>
    </row>
    <row r="1147" ht="15.75" customHeight="1">
      <c r="A1147" s="126"/>
      <c r="N1147" s="127"/>
    </row>
    <row r="1148" ht="15.75" customHeight="1">
      <c r="A1148" s="126"/>
      <c r="N1148" s="127"/>
    </row>
    <row r="1149" ht="15.75" customHeight="1">
      <c r="A1149" s="126"/>
      <c r="N1149" s="127"/>
    </row>
    <row r="1150" ht="15.75" customHeight="1">
      <c r="A1150" s="126"/>
      <c r="N1150" s="127"/>
    </row>
    <row r="1151" ht="15.75" customHeight="1">
      <c r="A1151" s="126"/>
      <c r="N1151" s="127"/>
    </row>
    <row r="1152" ht="15.75" customHeight="1">
      <c r="A1152" s="126"/>
      <c r="N1152" s="127"/>
    </row>
    <row r="1153" ht="15.75" customHeight="1">
      <c r="A1153" s="126"/>
      <c r="N1153" s="127"/>
    </row>
    <row r="1154" ht="15.75" customHeight="1">
      <c r="A1154" s="126"/>
      <c r="N1154" s="127"/>
    </row>
    <row r="1155" ht="15.75" customHeight="1">
      <c r="A1155" s="126"/>
      <c r="N1155" s="127"/>
    </row>
    <row r="1156" ht="15.75" customHeight="1">
      <c r="A1156" s="126"/>
      <c r="N1156" s="127"/>
    </row>
    <row r="1157" ht="15.75" customHeight="1">
      <c r="A1157" s="126"/>
      <c r="N1157" s="127"/>
    </row>
    <row r="1158" ht="15.75" customHeight="1">
      <c r="A1158" s="126"/>
      <c r="N1158" s="127"/>
    </row>
    <row r="1159" ht="15.75" customHeight="1">
      <c r="A1159" s="126"/>
      <c r="N1159" s="127"/>
    </row>
    <row r="1160" ht="15.75" customHeight="1">
      <c r="A1160" s="126"/>
      <c r="N1160" s="127"/>
    </row>
    <row r="1161" ht="15.75" customHeight="1">
      <c r="A1161" s="126"/>
      <c r="N1161" s="127"/>
    </row>
    <row r="1162" ht="15.75" customHeight="1">
      <c r="A1162" s="126"/>
      <c r="N1162" s="127"/>
    </row>
    <row r="1163" ht="15.75" customHeight="1">
      <c r="A1163" s="126"/>
      <c r="N1163" s="127"/>
    </row>
    <row r="1164" ht="15.75" customHeight="1">
      <c r="A1164" s="126"/>
      <c r="N1164" s="127"/>
    </row>
    <row r="1165" ht="15.75" customHeight="1">
      <c r="A1165" s="126"/>
      <c r="N1165" s="127"/>
    </row>
    <row r="1166" ht="15.75" customHeight="1">
      <c r="A1166" s="126"/>
      <c r="N1166" s="127"/>
    </row>
    <row r="1167" ht="15.75" customHeight="1">
      <c r="A1167" s="126"/>
      <c r="N1167" s="127"/>
    </row>
    <row r="1168" ht="15.75" customHeight="1">
      <c r="A1168" s="126"/>
      <c r="N1168" s="127"/>
    </row>
    <row r="1169" ht="15.75" customHeight="1">
      <c r="A1169" s="126"/>
      <c r="N1169" s="127"/>
    </row>
    <row r="1170" ht="15.75" customHeight="1">
      <c r="A1170" s="126"/>
      <c r="N1170" s="127"/>
    </row>
    <row r="1171" ht="15.75" customHeight="1">
      <c r="A1171" s="126"/>
      <c r="N1171" s="127"/>
    </row>
    <row r="1172" ht="15.75" customHeight="1">
      <c r="A1172" s="126"/>
      <c r="N1172" s="127"/>
    </row>
    <row r="1173" ht="15.75" customHeight="1">
      <c r="A1173" s="126"/>
      <c r="N1173" s="127"/>
    </row>
    <row r="1174" ht="15.75" customHeight="1">
      <c r="A1174" s="126"/>
      <c r="N1174" s="127"/>
    </row>
    <row r="1175" ht="15.75" customHeight="1">
      <c r="A1175" s="126"/>
      <c r="N1175" s="127"/>
    </row>
    <row r="1176" ht="15.75" customHeight="1">
      <c r="A1176" s="126"/>
      <c r="N1176" s="127"/>
    </row>
    <row r="1177" ht="15.75" customHeight="1">
      <c r="A1177" s="126"/>
      <c r="N1177" s="127"/>
    </row>
    <row r="1178" ht="15.75" customHeight="1">
      <c r="A1178" s="126"/>
      <c r="N1178" s="127"/>
    </row>
    <row r="1179" ht="15.75" customHeight="1">
      <c r="A1179" s="126"/>
      <c r="N1179" s="127"/>
    </row>
    <row r="1180" ht="15.75" customHeight="1">
      <c r="A1180" s="126"/>
      <c r="N1180" s="127"/>
    </row>
    <row r="1181" ht="15.75" customHeight="1">
      <c r="A1181" s="126"/>
      <c r="N1181" s="127"/>
    </row>
    <row r="1182" ht="15.75" customHeight="1">
      <c r="A1182" s="126"/>
      <c r="N1182" s="127"/>
    </row>
    <row r="1183" ht="15.75" customHeight="1">
      <c r="A1183" s="126"/>
      <c r="N1183" s="127"/>
    </row>
    <row r="1184" ht="15.75" customHeight="1">
      <c r="A1184" s="126"/>
      <c r="N1184" s="127"/>
    </row>
    <row r="1185" ht="15.75" customHeight="1">
      <c r="A1185" s="126"/>
      <c r="N1185" s="127"/>
    </row>
    <row r="1186" ht="15.75" customHeight="1">
      <c r="A1186" s="126"/>
      <c r="N1186" s="127"/>
    </row>
    <row r="1187" ht="15.75" customHeight="1">
      <c r="A1187" s="126"/>
      <c r="N1187" s="127"/>
    </row>
    <row r="1188" ht="15.75" customHeight="1">
      <c r="A1188" s="126"/>
      <c r="N1188" s="127"/>
    </row>
    <row r="1189" ht="15.75" customHeight="1">
      <c r="A1189" s="126"/>
      <c r="N1189" s="127"/>
    </row>
    <row r="1190" ht="15.75" customHeight="1">
      <c r="A1190" s="126"/>
      <c r="N1190" s="127"/>
    </row>
    <row r="1191" ht="15.75" customHeight="1">
      <c r="A1191" s="126"/>
      <c r="N1191" s="127"/>
    </row>
    <row r="1192" ht="15.75" customHeight="1">
      <c r="A1192" s="126"/>
      <c r="N1192" s="127"/>
    </row>
    <row r="1193" ht="15.75" customHeight="1">
      <c r="A1193" s="126"/>
      <c r="N1193" s="127"/>
    </row>
    <row r="1194" ht="15.75" customHeight="1">
      <c r="A1194" s="126"/>
      <c r="N1194" s="127"/>
    </row>
    <row r="1195" ht="15.75" customHeight="1">
      <c r="A1195" s="126"/>
      <c r="N1195" s="127"/>
    </row>
    <row r="1196" ht="15.75" customHeight="1">
      <c r="A1196" s="126"/>
      <c r="N1196" s="127"/>
    </row>
    <row r="1197" ht="15.75" customHeight="1">
      <c r="A1197" s="126"/>
      <c r="N1197" s="127"/>
    </row>
    <row r="1198" ht="15.75" customHeight="1">
      <c r="A1198" s="126"/>
      <c r="N1198" s="127"/>
    </row>
    <row r="1199" ht="15.75" customHeight="1">
      <c r="A1199" s="126"/>
      <c r="N1199" s="127"/>
    </row>
    <row r="1200" ht="15.75" customHeight="1">
      <c r="A1200" s="126"/>
      <c r="N1200" s="127"/>
    </row>
    <row r="1201" ht="15.75" customHeight="1">
      <c r="A1201" s="126"/>
      <c r="N1201" s="127"/>
    </row>
    <row r="1202" ht="15.75" customHeight="1">
      <c r="A1202" s="126"/>
      <c r="N1202" s="127"/>
    </row>
    <row r="1203" ht="15.75" customHeight="1">
      <c r="A1203" s="126"/>
      <c r="N1203" s="127"/>
    </row>
    <row r="1204" ht="15.75" customHeight="1">
      <c r="A1204" s="126"/>
      <c r="N1204" s="127"/>
    </row>
    <row r="1205" ht="15.75" customHeight="1">
      <c r="A1205" s="126"/>
      <c r="N1205" s="127"/>
    </row>
    <row r="1206" ht="15.75" customHeight="1">
      <c r="A1206" s="126"/>
      <c r="N1206" s="127"/>
    </row>
    <row r="1207" ht="15.75" customHeight="1">
      <c r="A1207" s="126"/>
      <c r="N1207" s="127"/>
    </row>
    <row r="1208" ht="15.75" customHeight="1">
      <c r="A1208" s="126"/>
      <c r="N1208" s="127"/>
    </row>
    <row r="1209" ht="15.75" customHeight="1">
      <c r="A1209" s="126"/>
      <c r="N1209" s="127"/>
    </row>
    <row r="1210" ht="15.75" customHeight="1">
      <c r="A1210" s="126"/>
      <c r="N1210" s="127"/>
    </row>
    <row r="1211" ht="15.75" customHeight="1">
      <c r="A1211" s="126"/>
      <c r="N1211" s="127"/>
    </row>
    <row r="1212" ht="15.75" customHeight="1">
      <c r="A1212" s="126"/>
      <c r="N1212" s="127"/>
    </row>
    <row r="1213" ht="15.75" customHeight="1">
      <c r="A1213" s="126"/>
      <c r="N1213" s="127"/>
    </row>
    <row r="1214" ht="15.75" customHeight="1">
      <c r="A1214" s="126"/>
      <c r="N1214" s="127"/>
    </row>
    <row r="1215" ht="15.75" customHeight="1">
      <c r="A1215" s="126"/>
      <c r="N1215" s="127"/>
    </row>
    <row r="1216" ht="15.75" customHeight="1">
      <c r="A1216" s="126"/>
      <c r="N1216" s="127"/>
    </row>
    <row r="1217" ht="15.75" customHeight="1">
      <c r="A1217" s="126"/>
      <c r="N1217" s="127"/>
    </row>
    <row r="1218" ht="15.75" customHeight="1">
      <c r="A1218" s="126"/>
      <c r="N1218" s="127"/>
    </row>
    <row r="1219" ht="15.75" customHeight="1">
      <c r="A1219" s="126"/>
      <c r="N1219" s="127"/>
    </row>
    <row r="1220" ht="15.75" customHeight="1">
      <c r="A1220" s="126"/>
      <c r="N1220" s="127"/>
    </row>
    <row r="1221" ht="15.75" customHeight="1">
      <c r="A1221" s="126"/>
      <c r="N1221" s="127"/>
    </row>
    <row r="1222" ht="15.75" customHeight="1">
      <c r="A1222" s="126"/>
      <c r="N1222" s="127"/>
    </row>
    <row r="1223" ht="15.75" customHeight="1">
      <c r="A1223" s="126"/>
      <c r="N1223" s="127"/>
    </row>
    <row r="1224" ht="15.75" customHeight="1">
      <c r="A1224" s="126"/>
      <c r="N1224" s="127"/>
    </row>
    <row r="1225" ht="15.75" customHeight="1">
      <c r="A1225" s="126"/>
      <c r="N1225" s="127"/>
    </row>
    <row r="1226" ht="15.75" customHeight="1">
      <c r="A1226" s="126"/>
      <c r="N1226" s="127"/>
    </row>
    <row r="1227" ht="15.75" customHeight="1">
      <c r="A1227" s="126"/>
      <c r="N1227" s="127"/>
    </row>
    <row r="1228" ht="15.75" customHeight="1">
      <c r="A1228" s="126"/>
      <c r="N1228" s="127"/>
    </row>
    <row r="1229" ht="15.75" customHeight="1">
      <c r="A1229" s="126"/>
      <c r="N1229" s="127"/>
    </row>
    <row r="1230" ht="15.75" customHeight="1">
      <c r="A1230" s="126"/>
      <c r="N1230" s="127"/>
    </row>
    <row r="1231" ht="15.75" customHeight="1">
      <c r="A1231" s="126"/>
      <c r="N1231" s="127"/>
    </row>
    <row r="1232" ht="15.75" customHeight="1">
      <c r="A1232" s="126"/>
      <c r="N1232" s="127"/>
    </row>
    <row r="1233" ht="15.75" customHeight="1">
      <c r="A1233" s="126"/>
      <c r="N1233" s="127"/>
    </row>
    <row r="1234" ht="15.75" customHeight="1">
      <c r="A1234" s="126"/>
      <c r="N1234" s="127"/>
    </row>
    <row r="1235" ht="15.75" customHeight="1">
      <c r="A1235" s="126"/>
      <c r="N1235" s="127"/>
    </row>
    <row r="1236" ht="15.75" customHeight="1">
      <c r="A1236" s="126"/>
      <c r="N1236" s="127"/>
    </row>
    <row r="1237" ht="15.75" customHeight="1">
      <c r="A1237" s="126"/>
      <c r="N1237" s="127"/>
    </row>
    <row r="1238" ht="15.75" customHeight="1">
      <c r="A1238" s="126"/>
      <c r="N1238" s="127"/>
    </row>
    <row r="1239" ht="15.75" customHeight="1">
      <c r="A1239" s="126"/>
      <c r="N1239" s="127"/>
    </row>
    <row r="1240" ht="15.75" customHeight="1">
      <c r="A1240" s="126"/>
      <c r="N1240" s="127"/>
    </row>
    <row r="1241" ht="15.75" customHeight="1">
      <c r="A1241" s="126"/>
      <c r="N1241" s="127"/>
    </row>
    <row r="1242" ht="15.75" customHeight="1">
      <c r="A1242" s="126"/>
      <c r="N1242" s="127"/>
    </row>
    <row r="1243" ht="15.75" customHeight="1">
      <c r="A1243" s="126"/>
      <c r="N1243" s="127"/>
    </row>
    <row r="1244" ht="15.75" customHeight="1">
      <c r="A1244" s="126"/>
      <c r="N1244" s="127"/>
    </row>
    <row r="1245" ht="15.75" customHeight="1">
      <c r="A1245" s="126"/>
      <c r="N1245" s="127"/>
    </row>
    <row r="1246" ht="15.75" customHeight="1">
      <c r="A1246" s="126"/>
      <c r="N1246" s="127"/>
    </row>
    <row r="1247" ht="15.75" customHeight="1">
      <c r="A1247" s="126"/>
      <c r="N1247" s="127"/>
    </row>
    <row r="1248" ht="15.75" customHeight="1">
      <c r="A1248" s="126"/>
      <c r="N1248" s="127"/>
    </row>
    <row r="1249" ht="15.75" customHeight="1">
      <c r="A1249" s="126"/>
      <c r="N1249" s="127"/>
    </row>
    <row r="1250" ht="15.75" customHeight="1">
      <c r="A1250" s="126"/>
      <c r="N1250" s="127"/>
    </row>
    <row r="1251" ht="15.75" customHeight="1">
      <c r="A1251" s="126"/>
      <c r="N1251" s="127"/>
    </row>
    <row r="1252" ht="15.75" customHeight="1">
      <c r="A1252" s="126"/>
      <c r="N1252" s="127"/>
    </row>
    <row r="1253" ht="15.75" customHeight="1">
      <c r="A1253" s="126"/>
      <c r="N1253" s="127"/>
    </row>
    <row r="1254" ht="15.75" customHeight="1">
      <c r="A1254" s="126"/>
      <c r="N1254" s="127"/>
    </row>
    <row r="1255" ht="15.75" customHeight="1">
      <c r="A1255" s="126"/>
      <c r="N1255" s="127"/>
    </row>
    <row r="1256" ht="15.75" customHeight="1">
      <c r="A1256" s="126"/>
      <c r="N1256" s="127"/>
    </row>
    <row r="1257" ht="15.75" customHeight="1">
      <c r="A1257" s="126"/>
      <c r="N1257" s="127"/>
    </row>
    <row r="1258" ht="15.75" customHeight="1">
      <c r="A1258" s="126"/>
      <c r="N1258" s="127"/>
    </row>
    <row r="1259" ht="15.75" customHeight="1">
      <c r="A1259" s="126"/>
      <c r="N1259" s="127"/>
    </row>
    <row r="1260" ht="15.75" customHeight="1">
      <c r="A1260" s="126"/>
      <c r="N1260" s="127"/>
    </row>
    <row r="1261" ht="15.75" customHeight="1">
      <c r="A1261" s="126"/>
      <c r="N1261" s="127"/>
    </row>
    <row r="1262" ht="15.75" customHeight="1">
      <c r="A1262" s="126"/>
      <c r="N1262" s="127"/>
    </row>
    <row r="1263" ht="15.75" customHeight="1">
      <c r="A1263" s="126"/>
      <c r="N1263" s="127"/>
    </row>
    <row r="1264" ht="15.75" customHeight="1">
      <c r="A1264" s="126"/>
      <c r="N1264" s="127"/>
    </row>
    <row r="1265" ht="15.75" customHeight="1">
      <c r="A1265" s="126"/>
      <c r="N1265" s="127"/>
    </row>
    <row r="1266" ht="15.75" customHeight="1">
      <c r="A1266" s="126"/>
      <c r="N1266" s="127"/>
    </row>
    <row r="1267" ht="15.75" customHeight="1">
      <c r="A1267" s="126"/>
      <c r="N1267" s="127"/>
    </row>
    <row r="1268" ht="15.75" customHeight="1">
      <c r="A1268" s="126"/>
      <c r="N1268" s="127"/>
    </row>
    <row r="1269" ht="15.75" customHeight="1">
      <c r="A1269" s="126"/>
      <c r="N1269" s="127"/>
    </row>
    <row r="1270" ht="15.75" customHeight="1">
      <c r="A1270" s="126"/>
      <c r="N1270" s="127"/>
    </row>
    <row r="1271" ht="15.75" customHeight="1">
      <c r="A1271" s="126"/>
      <c r="N1271" s="127"/>
    </row>
    <row r="1272" ht="15.75" customHeight="1">
      <c r="A1272" s="126"/>
      <c r="N1272" s="127"/>
    </row>
    <row r="1273" ht="15.75" customHeight="1">
      <c r="A1273" s="126"/>
      <c r="N1273" s="127"/>
    </row>
    <row r="1274" ht="15.75" customHeight="1">
      <c r="A1274" s="126"/>
      <c r="N1274" s="127"/>
    </row>
    <row r="1275" ht="15.75" customHeight="1">
      <c r="A1275" s="126"/>
      <c r="N1275" s="127"/>
    </row>
    <row r="1276" ht="15.75" customHeight="1">
      <c r="A1276" s="126"/>
      <c r="N1276" s="127"/>
    </row>
    <row r="1277" ht="15.75" customHeight="1">
      <c r="A1277" s="126"/>
      <c r="N1277" s="127"/>
    </row>
    <row r="1278" ht="15.75" customHeight="1">
      <c r="A1278" s="126"/>
      <c r="N1278" s="127"/>
    </row>
    <row r="1279" ht="15.75" customHeight="1">
      <c r="A1279" s="126"/>
      <c r="N1279" s="127"/>
    </row>
    <row r="1280" ht="15.75" customHeight="1">
      <c r="A1280" s="126"/>
      <c r="N1280" s="127"/>
    </row>
    <row r="1281" ht="15.75" customHeight="1">
      <c r="A1281" s="126"/>
      <c r="N1281" s="127"/>
    </row>
    <row r="1282" ht="15.75" customHeight="1">
      <c r="A1282" s="126"/>
      <c r="N1282" s="127"/>
    </row>
    <row r="1283" ht="15.75" customHeight="1">
      <c r="A1283" s="126"/>
      <c r="N1283" s="127"/>
    </row>
    <row r="1284" ht="15.75" customHeight="1">
      <c r="A1284" s="126"/>
      <c r="N1284" s="127"/>
    </row>
    <row r="1285" ht="15.75" customHeight="1">
      <c r="A1285" s="126"/>
      <c r="N1285" s="127"/>
    </row>
    <row r="1286" ht="15.75" customHeight="1">
      <c r="A1286" s="126"/>
      <c r="N1286" s="127"/>
    </row>
    <row r="1287" ht="15.75" customHeight="1">
      <c r="A1287" s="126"/>
      <c r="N1287" s="127"/>
    </row>
    <row r="1288" ht="15.75" customHeight="1">
      <c r="A1288" s="126"/>
      <c r="N1288" s="127"/>
    </row>
    <row r="1289" ht="15.75" customHeight="1">
      <c r="A1289" s="126"/>
      <c r="N1289" s="127"/>
    </row>
    <row r="1290" ht="15.75" customHeight="1">
      <c r="A1290" s="126"/>
      <c r="N1290" s="127"/>
    </row>
    <row r="1291" ht="15.75" customHeight="1">
      <c r="A1291" s="126"/>
      <c r="N1291" s="127"/>
    </row>
    <row r="1292" ht="15.75" customHeight="1">
      <c r="A1292" s="126"/>
      <c r="N1292" s="127"/>
    </row>
    <row r="1293" ht="15.75" customHeight="1">
      <c r="A1293" s="126"/>
      <c r="N1293" s="127"/>
    </row>
    <row r="1294" ht="15.75" customHeight="1">
      <c r="A1294" s="126"/>
      <c r="N1294" s="127"/>
    </row>
    <row r="1295" ht="15.75" customHeight="1">
      <c r="A1295" s="126"/>
      <c r="N1295" s="127"/>
    </row>
    <row r="1296" ht="15.75" customHeight="1">
      <c r="A1296" s="126"/>
      <c r="N1296" s="127"/>
    </row>
    <row r="1297" ht="15.75" customHeight="1">
      <c r="A1297" s="126"/>
      <c r="N1297" s="127"/>
    </row>
    <row r="1298" ht="15.75" customHeight="1">
      <c r="A1298" s="126"/>
      <c r="N1298" s="127"/>
    </row>
    <row r="1299" ht="15.75" customHeight="1">
      <c r="A1299" s="126"/>
      <c r="N1299" s="127"/>
    </row>
    <row r="1300" ht="15.75" customHeight="1">
      <c r="A1300" s="126"/>
      <c r="N1300" s="127"/>
    </row>
    <row r="1301" ht="15.75" customHeight="1">
      <c r="A1301" s="126"/>
      <c r="N1301" s="127"/>
    </row>
    <row r="1302" ht="15.75" customHeight="1">
      <c r="A1302" s="126"/>
      <c r="N1302" s="127"/>
    </row>
    <row r="1303" ht="15.75" customHeight="1">
      <c r="A1303" s="126"/>
      <c r="N1303" s="127"/>
    </row>
    <row r="1304" ht="15.75" customHeight="1">
      <c r="A1304" s="126"/>
      <c r="N1304" s="127"/>
    </row>
    <row r="1305" ht="15.75" customHeight="1">
      <c r="A1305" s="126"/>
      <c r="N1305" s="127"/>
    </row>
    <row r="1306" ht="15.75" customHeight="1">
      <c r="A1306" s="126"/>
      <c r="N1306" s="127"/>
    </row>
    <row r="1307" ht="15.75" customHeight="1">
      <c r="A1307" s="126"/>
      <c r="N1307" s="127"/>
    </row>
    <row r="1308" ht="15.75" customHeight="1">
      <c r="A1308" s="126"/>
      <c r="N1308" s="127"/>
    </row>
    <row r="1309" ht="15.75" customHeight="1">
      <c r="A1309" s="126"/>
      <c r="N1309" s="127"/>
    </row>
    <row r="1310" ht="15.75" customHeight="1">
      <c r="A1310" s="126"/>
      <c r="N1310" s="127"/>
    </row>
    <row r="1311" ht="15.75" customHeight="1">
      <c r="A1311" s="126"/>
      <c r="N1311" s="127"/>
    </row>
    <row r="1312" ht="15.75" customHeight="1">
      <c r="A1312" s="126"/>
      <c r="N1312" s="127"/>
    </row>
    <row r="1313" ht="15.75" customHeight="1">
      <c r="A1313" s="126"/>
      <c r="N1313" s="127"/>
    </row>
    <row r="1314" ht="15.75" customHeight="1">
      <c r="A1314" s="126"/>
      <c r="N1314" s="127"/>
    </row>
    <row r="1315" ht="15.75" customHeight="1">
      <c r="A1315" s="126"/>
      <c r="N1315" s="127"/>
    </row>
    <row r="1316" ht="15.75" customHeight="1">
      <c r="A1316" s="126"/>
      <c r="N1316" s="127"/>
    </row>
    <row r="1317" ht="15.75" customHeight="1">
      <c r="A1317" s="126"/>
      <c r="N1317" s="127"/>
    </row>
    <row r="1318" ht="15.75" customHeight="1">
      <c r="A1318" s="126"/>
      <c r="N1318" s="127"/>
    </row>
    <row r="1319" ht="15.75" customHeight="1">
      <c r="A1319" s="126"/>
      <c r="N1319" s="127"/>
    </row>
    <row r="1320" ht="15.75" customHeight="1">
      <c r="A1320" s="126"/>
      <c r="N1320" s="127"/>
    </row>
    <row r="1321" ht="15.75" customHeight="1">
      <c r="A1321" s="126"/>
      <c r="N1321" s="127"/>
    </row>
    <row r="1322" ht="15.75" customHeight="1">
      <c r="A1322" s="126"/>
      <c r="N1322" s="127"/>
    </row>
    <row r="1323" ht="15.75" customHeight="1">
      <c r="A1323" s="126"/>
      <c r="N1323" s="127"/>
    </row>
    <row r="1324" ht="15.75" customHeight="1">
      <c r="A1324" s="126"/>
      <c r="N1324" s="127"/>
    </row>
    <row r="1325" ht="15.75" customHeight="1">
      <c r="A1325" s="126"/>
      <c r="N1325" s="127"/>
    </row>
    <row r="1326" ht="15.75" customHeight="1">
      <c r="A1326" s="126"/>
      <c r="N1326" s="127"/>
    </row>
    <row r="1327" ht="15.75" customHeight="1">
      <c r="A1327" s="126"/>
      <c r="N1327" s="127"/>
    </row>
    <row r="1328" ht="15.75" customHeight="1">
      <c r="A1328" s="126"/>
      <c r="N1328" s="127"/>
    </row>
    <row r="1329" ht="15.75" customHeight="1">
      <c r="A1329" s="126"/>
      <c r="N1329" s="127"/>
    </row>
    <row r="1330" ht="15.75" customHeight="1">
      <c r="A1330" s="126"/>
      <c r="N1330" s="127"/>
    </row>
    <row r="1331" ht="15.75" customHeight="1">
      <c r="A1331" s="126"/>
      <c r="N1331" s="127"/>
    </row>
    <row r="1332" ht="15.75" customHeight="1">
      <c r="A1332" s="126"/>
      <c r="N1332" s="127"/>
    </row>
    <row r="1333" ht="15.75" customHeight="1">
      <c r="A1333" s="126"/>
      <c r="N1333" s="127"/>
    </row>
    <row r="1334" ht="15.75" customHeight="1">
      <c r="A1334" s="126"/>
      <c r="N1334" s="127"/>
    </row>
    <row r="1335" ht="15.75" customHeight="1">
      <c r="A1335" s="126"/>
      <c r="N1335" s="127"/>
    </row>
    <row r="1336" ht="15.75" customHeight="1">
      <c r="A1336" s="126"/>
      <c r="N1336" s="127"/>
    </row>
    <row r="1337" ht="15.75" customHeight="1">
      <c r="A1337" s="126"/>
      <c r="N1337" s="127"/>
    </row>
    <row r="1338" ht="15.75" customHeight="1">
      <c r="A1338" s="126"/>
      <c r="N1338" s="127"/>
    </row>
    <row r="1339" ht="15.75" customHeight="1">
      <c r="A1339" s="126"/>
      <c r="N1339" s="127"/>
    </row>
    <row r="1340" ht="15.75" customHeight="1">
      <c r="A1340" s="126"/>
      <c r="N1340" s="127"/>
    </row>
    <row r="1341" ht="15.75" customHeight="1">
      <c r="A1341" s="126"/>
      <c r="N1341" s="127"/>
    </row>
    <row r="1342" ht="15.75" customHeight="1">
      <c r="A1342" s="126"/>
      <c r="N1342" s="127"/>
    </row>
    <row r="1343" ht="15.75" customHeight="1">
      <c r="A1343" s="126"/>
      <c r="N1343" s="127"/>
    </row>
    <row r="1344" ht="15.75" customHeight="1">
      <c r="A1344" s="126"/>
      <c r="N1344" s="127"/>
    </row>
    <row r="1345" ht="15.75" customHeight="1">
      <c r="A1345" s="126"/>
      <c r="N1345" s="127"/>
    </row>
    <row r="1346" ht="15.75" customHeight="1">
      <c r="A1346" s="126"/>
      <c r="N1346" s="127"/>
    </row>
    <row r="1347" ht="15.75" customHeight="1">
      <c r="A1347" s="126"/>
      <c r="N1347" s="127"/>
    </row>
    <row r="1348" ht="15.75" customHeight="1">
      <c r="A1348" s="126"/>
      <c r="N1348" s="127"/>
    </row>
    <row r="1349" ht="15.75" customHeight="1">
      <c r="A1349" s="126"/>
      <c r="N1349" s="127"/>
    </row>
    <row r="1350" ht="15.75" customHeight="1">
      <c r="A1350" s="126"/>
      <c r="N1350" s="127"/>
    </row>
    <row r="1351" ht="15.75" customHeight="1">
      <c r="A1351" s="126"/>
      <c r="N1351" s="127"/>
    </row>
    <row r="1352" ht="15.75" customHeight="1">
      <c r="A1352" s="126"/>
      <c r="N1352" s="127"/>
    </row>
    <row r="1353" ht="15.75" customHeight="1">
      <c r="A1353" s="126"/>
      <c r="N1353" s="127"/>
    </row>
    <row r="1354" ht="15.75" customHeight="1">
      <c r="A1354" s="126"/>
      <c r="N1354" s="127"/>
    </row>
    <row r="1355" ht="15.75" customHeight="1">
      <c r="A1355" s="126"/>
      <c r="N1355" s="127"/>
    </row>
    <row r="1356" ht="15.75" customHeight="1">
      <c r="A1356" s="126"/>
      <c r="N1356" s="127"/>
    </row>
    <row r="1357" ht="15.75" customHeight="1">
      <c r="A1357" s="126"/>
      <c r="N1357" s="127"/>
    </row>
    <row r="1358" ht="15.75" customHeight="1">
      <c r="A1358" s="126"/>
      <c r="N1358" s="127"/>
    </row>
    <row r="1359" ht="15.75" customHeight="1">
      <c r="A1359" s="126"/>
      <c r="N1359" s="127"/>
    </row>
    <row r="1360" ht="15.75" customHeight="1">
      <c r="A1360" s="126"/>
      <c r="N1360" s="127"/>
    </row>
    <row r="1361" ht="15.75" customHeight="1">
      <c r="A1361" s="126"/>
      <c r="N1361" s="127"/>
    </row>
    <row r="1362" ht="15.75" customHeight="1">
      <c r="A1362" s="126"/>
      <c r="N1362" s="127"/>
    </row>
    <row r="1363" ht="15.75" customHeight="1">
      <c r="A1363" s="126"/>
      <c r="N1363" s="127"/>
    </row>
    <row r="1364" ht="15.75" customHeight="1">
      <c r="A1364" s="126"/>
      <c r="N1364" s="127"/>
    </row>
    <row r="1365" ht="15.75" customHeight="1">
      <c r="A1365" s="126"/>
      <c r="N1365" s="127"/>
    </row>
    <row r="1366" ht="15.75" customHeight="1">
      <c r="A1366" s="126"/>
      <c r="N1366" s="127"/>
    </row>
    <row r="1367" ht="15.75" customHeight="1">
      <c r="A1367" s="126"/>
      <c r="N1367" s="127"/>
    </row>
    <row r="1368" ht="15.75" customHeight="1">
      <c r="A1368" s="126"/>
      <c r="N1368" s="127"/>
    </row>
    <row r="1369" ht="15.75" customHeight="1">
      <c r="A1369" s="126"/>
      <c r="N1369" s="127"/>
    </row>
    <row r="1370" ht="15.75" customHeight="1">
      <c r="A1370" s="126"/>
      <c r="N1370" s="127"/>
    </row>
    <row r="1371" ht="15.75" customHeight="1">
      <c r="A1371" s="126"/>
      <c r="N1371" s="127"/>
    </row>
    <row r="1372" ht="15.75" customHeight="1">
      <c r="A1372" s="126"/>
      <c r="N1372" s="127"/>
    </row>
    <row r="1373" ht="15.75" customHeight="1">
      <c r="A1373" s="126"/>
      <c r="N1373" s="127"/>
    </row>
    <row r="1374" ht="15.75" customHeight="1">
      <c r="A1374" s="126"/>
      <c r="N1374" s="127"/>
    </row>
    <row r="1375" ht="15.75" customHeight="1">
      <c r="A1375" s="126"/>
      <c r="N1375" s="127"/>
    </row>
    <row r="1376" ht="15.75" customHeight="1">
      <c r="A1376" s="126"/>
      <c r="N1376" s="127"/>
    </row>
    <row r="1377" ht="15.75" customHeight="1">
      <c r="A1377" s="126"/>
      <c r="N1377" s="127"/>
    </row>
    <row r="1378" ht="15.75" customHeight="1">
      <c r="A1378" s="126"/>
      <c r="N1378" s="127"/>
    </row>
    <row r="1379" ht="15.75" customHeight="1">
      <c r="A1379" s="126"/>
      <c r="N1379" s="127"/>
    </row>
    <row r="1380" ht="15.75" customHeight="1">
      <c r="A1380" s="126"/>
      <c r="N1380" s="127"/>
    </row>
    <row r="1381" ht="15.75" customHeight="1">
      <c r="A1381" s="126"/>
      <c r="N1381" s="127"/>
    </row>
    <row r="1382" ht="15.75" customHeight="1">
      <c r="A1382" s="126"/>
      <c r="N1382" s="127"/>
    </row>
    <row r="1383" ht="15.75" customHeight="1">
      <c r="A1383" s="126"/>
      <c r="N1383" s="127"/>
    </row>
    <row r="1384" ht="15.75" customHeight="1">
      <c r="A1384" s="126"/>
      <c r="N1384" s="127"/>
    </row>
    <row r="1385" ht="15.75" customHeight="1">
      <c r="A1385" s="126"/>
      <c r="N1385" s="127"/>
    </row>
    <row r="1386" ht="15.75" customHeight="1">
      <c r="A1386" s="126"/>
      <c r="N1386" s="127"/>
    </row>
    <row r="1387" ht="15.75" customHeight="1">
      <c r="A1387" s="126"/>
      <c r="N1387" s="127"/>
    </row>
    <row r="1388" ht="15.75" customHeight="1">
      <c r="A1388" s="126"/>
      <c r="N1388" s="127"/>
    </row>
    <row r="1389" ht="15.75" customHeight="1">
      <c r="A1389" s="126"/>
      <c r="N1389" s="127"/>
    </row>
    <row r="1390" ht="15.75" customHeight="1">
      <c r="A1390" s="126"/>
      <c r="N1390" s="127"/>
    </row>
    <row r="1391" ht="15.75" customHeight="1">
      <c r="A1391" s="126"/>
      <c r="N1391" s="127"/>
    </row>
    <row r="1392" ht="15.75" customHeight="1">
      <c r="A1392" s="126"/>
      <c r="N1392" s="127"/>
    </row>
    <row r="1393" ht="15.75" customHeight="1">
      <c r="A1393" s="126"/>
      <c r="N1393" s="127"/>
    </row>
    <row r="1394" ht="15.75" customHeight="1">
      <c r="A1394" s="126"/>
      <c r="N1394" s="127"/>
    </row>
    <row r="1395" ht="15.75" customHeight="1">
      <c r="A1395" s="126"/>
      <c r="N1395" s="127"/>
    </row>
    <row r="1396" ht="15.75" customHeight="1">
      <c r="A1396" s="126"/>
      <c r="N1396" s="127"/>
    </row>
    <row r="1397" ht="15.75" customHeight="1">
      <c r="A1397" s="126"/>
      <c r="N1397" s="127"/>
    </row>
    <row r="1398" ht="15.75" customHeight="1">
      <c r="A1398" s="126"/>
      <c r="N1398" s="127"/>
    </row>
    <row r="1399" ht="15.75" customHeight="1">
      <c r="A1399" s="126"/>
      <c r="N1399" s="127"/>
    </row>
    <row r="1400" ht="15.75" customHeight="1">
      <c r="A1400" s="126"/>
      <c r="N1400" s="127"/>
    </row>
    <row r="1401" ht="15.75" customHeight="1">
      <c r="A1401" s="126"/>
      <c r="N1401" s="127"/>
    </row>
    <row r="1402" ht="15.75" customHeight="1">
      <c r="A1402" s="126"/>
      <c r="N1402" s="127"/>
    </row>
    <row r="1403" ht="15.75" customHeight="1">
      <c r="A1403" s="126"/>
      <c r="N1403" s="127"/>
    </row>
    <row r="1404" ht="15.75" customHeight="1">
      <c r="A1404" s="126"/>
      <c r="N1404" s="127"/>
    </row>
    <row r="1405" ht="15.75" customHeight="1">
      <c r="A1405" s="126"/>
      <c r="N1405" s="127"/>
    </row>
    <row r="1406" ht="15.75" customHeight="1">
      <c r="A1406" s="126"/>
      <c r="N1406" s="127"/>
    </row>
    <row r="1407" ht="15.75" customHeight="1">
      <c r="A1407" s="126"/>
      <c r="N1407" s="127"/>
    </row>
    <row r="1408" ht="15.75" customHeight="1">
      <c r="A1408" s="126"/>
      <c r="N1408" s="127"/>
    </row>
    <row r="1409" ht="15.75" customHeight="1">
      <c r="A1409" s="126"/>
      <c r="N1409" s="127"/>
    </row>
    <row r="1410" ht="15.75" customHeight="1">
      <c r="A1410" s="126"/>
      <c r="N1410" s="127"/>
    </row>
    <row r="1411" ht="15.75" customHeight="1">
      <c r="A1411" s="126"/>
      <c r="N1411" s="127"/>
    </row>
    <row r="1412" ht="15.75" customHeight="1">
      <c r="A1412" s="126"/>
      <c r="N1412" s="127"/>
    </row>
    <row r="1413" ht="15.75" customHeight="1">
      <c r="A1413" s="126"/>
      <c r="N1413" s="127"/>
    </row>
    <row r="1414" ht="15.75" customHeight="1">
      <c r="A1414" s="126"/>
      <c r="N1414" s="127"/>
    </row>
    <row r="1415" ht="15.75" customHeight="1">
      <c r="A1415" s="126"/>
      <c r="N1415" s="127"/>
    </row>
    <row r="1416" ht="15.75" customHeight="1">
      <c r="A1416" s="126"/>
      <c r="N1416" s="127"/>
    </row>
    <row r="1417" ht="15.75" customHeight="1">
      <c r="A1417" s="126"/>
      <c r="N1417" s="127"/>
    </row>
    <row r="1418" ht="15.75" customHeight="1">
      <c r="A1418" s="126"/>
      <c r="N1418" s="127"/>
    </row>
    <row r="1419" ht="15.75" customHeight="1">
      <c r="A1419" s="126"/>
      <c r="N1419" s="127"/>
    </row>
    <row r="1420" ht="15.75" customHeight="1">
      <c r="A1420" s="126"/>
      <c r="N1420" s="127"/>
    </row>
    <row r="1421" ht="15.75" customHeight="1">
      <c r="A1421" s="126"/>
      <c r="N1421" s="127"/>
    </row>
    <row r="1422" ht="15.75" customHeight="1">
      <c r="A1422" s="126"/>
      <c r="N1422" s="127"/>
    </row>
    <row r="1423" ht="15.75" customHeight="1">
      <c r="A1423" s="126"/>
      <c r="N1423" s="127"/>
    </row>
    <row r="1424" ht="15.75" customHeight="1">
      <c r="A1424" s="126"/>
      <c r="N1424" s="127"/>
    </row>
    <row r="1425" ht="15.75" customHeight="1">
      <c r="A1425" s="126"/>
      <c r="N1425" s="127"/>
    </row>
    <row r="1426" ht="15.75" customHeight="1">
      <c r="A1426" s="126"/>
      <c r="N1426" s="127"/>
    </row>
    <row r="1427" ht="15.75" customHeight="1">
      <c r="A1427" s="126"/>
      <c r="N1427" s="127"/>
    </row>
    <row r="1428" ht="15.75" customHeight="1">
      <c r="A1428" s="126"/>
      <c r="N1428" s="127"/>
    </row>
    <row r="1429" ht="15.75" customHeight="1">
      <c r="A1429" s="126"/>
      <c r="N1429" s="127"/>
    </row>
    <row r="1430" ht="15.75" customHeight="1">
      <c r="A1430" s="126"/>
      <c r="N1430" s="127"/>
    </row>
    <row r="1431" ht="15.75" customHeight="1">
      <c r="A1431" s="126"/>
      <c r="N1431" s="127"/>
    </row>
    <row r="1432" ht="15.75" customHeight="1">
      <c r="A1432" s="126"/>
      <c r="N1432" s="127"/>
    </row>
    <row r="1433" ht="15.75" customHeight="1">
      <c r="A1433" s="126"/>
      <c r="N1433" s="127"/>
    </row>
    <row r="1434" ht="15.75" customHeight="1">
      <c r="A1434" s="126"/>
      <c r="N1434" s="127"/>
    </row>
    <row r="1435" ht="15.75" customHeight="1">
      <c r="A1435" s="126"/>
      <c r="N1435" s="127"/>
    </row>
    <row r="1436" ht="15.75" customHeight="1">
      <c r="A1436" s="126"/>
      <c r="N1436" s="127"/>
    </row>
    <row r="1437" ht="15.75" customHeight="1">
      <c r="A1437" s="126"/>
      <c r="N1437" s="127"/>
    </row>
    <row r="1438" ht="15.75" customHeight="1">
      <c r="A1438" s="126"/>
      <c r="N1438" s="127"/>
    </row>
    <row r="1439" ht="15.75" customHeight="1">
      <c r="A1439" s="126"/>
      <c r="N1439" s="127"/>
    </row>
    <row r="1440" ht="15.75" customHeight="1">
      <c r="A1440" s="126"/>
      <c r="N1440" s="127"/>
    </row>
    <row r="1441" ht="15.75" customHeight="1">
      <c r="A1441" s="126"/>
      <c r="N1441" s="127"/>
    </row>
    <row r="1442" ht="15.75" customHeight="1">
      <c r="A1442" s="126"/>
      <c r="N1442" s="127"/>
    </row>
    <row r="1443" ht="15.75" customHeight="1">
      <c r="A1443" s="126"/>
      <c r="N1443" s="127"/>
    </row>
    <row r="1444" ht="15.75" customHeight="1">
      <c r="A1444" s="126"/>
      <c r="N1444" s="127"/>
    </row>
    <row r="1445" ht="15.75" customHeight="1">
      <c r="A1445" s="126"/>
      <c r="N1445" s="127"/>
    </row>
    <row r="1446" ht="15.75" customHeight="1">
      <c r="A1446" s="126"/>
      <c r="N1446" s="127"/>
    </row>
    <row r="1447" ht="15.75" customHeight="1">
      <c r="A1447" s="126"/>
      <c r="N1447" s="127"/>
    </row>
    <row r="1448" ht="15.75" customHeight="1">
      <c r="A1448" s="126"/>
      <c r="N1448" s="127"/>
    </row>
    <row r="1449" ht="15.75" customHeight="1">
      <c r="A1449" s="126"/>
      <c r="N1449" s="127"/>
    </row>
    <row r="1450" ht="15.75" customHeight="1">
      <c r="A1450" s="126"/>
      <c r="N1450" s="127"/>
    </row>
    <row r="1451" ht="15.75" customHeight="1">
      <c r="A1451" s="126"/>
      <c r="N1451" s="127"/>
    </row>
    <row r="1452" ht="15.75" customHeight="1">
      <c r="A1452" s="126"/>
      <c r="N1452" s="127"/>
    </row>
    <row r="1453" ht="15.75" customHeight="1">
      <c r="A1453" s="126"/>
      <c r="N1453" s="127"/>
    </row>
    <row r="1454" ht="15.75" customHeight="1">
      <c r="A1454" s="126"/>
      <c r="N1454" s="127"/>
    </row>
    <row r="1455" ht="15.75" customHeight="1">
      <c r="A1455" s="126"/>
      <c r="N1455" s="127"/>
    </row>
    <row r="1456" ht="15.75" customHeight="1">
      <c r="A1456" s="126"/>
      <c r="N1456" s="127"/>
    </row>
    <row r="1457" ht="15.75" customHeight="1">
      <c r="A1457" s="126"/>
      <c r="N1457" s="127"/>
    </row>
    <row r="1458" ht="15.75" customHeight="1">
      <c r="A1458" s="126"/>
      <c r="N1458" s="127"/>
    </row>
    <row r="1459" ht="15.75" customHeight="1">
      <c r="N1459" s="127"/>
    </row>
    <row r="1460" ht="15.75" customHeight="1">
      <c r="N1460" s="127"/>
    </row>
    <row r="1461" ht="15.75" customHeight="1">
      <c r="N1461" s="127"/>
    </row>
    <row r="1462" ht="15.75" customHeight="1">
      <c r="N1462" s="127"/>
    </row>
    <row r="1463" ht="15.75" customHeight="1">
      <c r="N1463" s="127"/>
    </row>
  </sheetData>
  <mergeCells count="456">
    <mergeCell ref="A54:A63"/>
    <mergeCell ref="B54:B63"/>
    <mergeCell ref="C54:C63"/>
    <mergeCell ref="D54:D63"/>
    <mergeCell ref="E54:E61"/>
    <mergeCell ref="F62:H62"/>
    <mergeCell ref="F63:N63"/>
    <mergeCell ref="A64:A73"/>
    <mergeCell ref="B64:B73"/>
    <mergeCell ref="C64:C73"/>
    <mergeCell ref="D64:D73"/>
    <mergeCell ref="E64:E71"/>
    <mergeCell ref="F72:H72"/>
    <mergeCell ref="F73:N73"/>
    <mergeCell ref="N76:N81"/>
    <mergeCell ref="N86:N91"/>
    <mergeCell ref="L2:N2"/>
    <mergeCell ref="N16:N21"/>
    <mergeCell ref="N26:N31"/>
    <mergeCell ref="N36:N41"/>
    <mergeCell ref="N46:N51"/>
    <mergeCell ref="N56:N61"/>
    <mergeCell ref="N66:N71"/>
    <mergeCell ref="N6:N11"/>
    <mergeCell ref="A84:A93"/>
    <mergeCell ref="B84:B93"/>
    <mergeCell ref="C84:C93"/>
    <mergeCell ref="D84:D93"/>
    <mergeCell ref="E84:E91"/>
    <mergeCell ref="F92:H92"/>
    <mergeCell ref="F93:N93"/>
    <mergeCell ref="B94:B103"/>
    <mergeCell ref="C94:C103"/>
    <mergeCell ref="D94:D103"/>
    <mergeCell ref="E94:E101"/>
    <mergeCell ref="N96:N101"/>
    <mergeCell ref="F102:H102"/>
    <mergeCell ref="F103:N103"/>
    <mergeCell ref="F112:H112"/>
    <mergeCell ref="F113:N113"/>
    <mergeCell ref="A94:A103"/>
    <mergeCell ref="A104:A113"/>
    <mergeCell ref="B104:B113"/>
    <mergeCell ref="C104:C113"/>
    <mergeCell ref="D104:D113"/>
    <mergeCell ref="E104:E111"/>
    <mergeCell ref="N106:N111"/>
    <mergeCell ref="A164:A173"/>
    <mergeCell ref="B164:B173"/>
    <mergeCell ref="C164:C173"/>
    <mergeCell ref="D164:D173"/>
    <mergeCell ref="E164:E171"/>
    <mergeCell ref="F172:H172"/>
    <mergeCell ref="F173:N173"/>
    <mergeCell ref="A174:A183"/>
    <mergeCell ref="B174:B183"/>
    <mergeCell ref="C174:C183"/>
    <mergeCell ref="D174:D183"/>
    <mergeCell ref="E174:E181"/>
    <mergeCell ref="F182:H182"/>
    <mergeCell ref="F183:N183"/>
    <mergeCell ref="A184:A193"/>
    <mergeCell ref="B184:B193"/>
    <mergeCell ref="C184:C193"/>
    <mergeCell ref="D184:D193"/>
    <mergeCell ref="E184:E191"/>
    <mergeCell ref="F192:H192"/>
    <mergeCell ref="F193:N193"/>
    <mergeCell ref="A194:A203"/>
    <mergeCell ref="B194:B203"/>
    <mergeCell ref="C194:C203"/>
    <mergeCell ref="D194:D203"/>
    <mergeCell ref="E194:E201"/>
    <mergeCell ref="F202:H202"/>
    <mergeCell ref="F203:N203"/>
    <mergeCell ref="A4:A13"/>
    <mergeCell ref="B4:B13"/>
    <mergeCell ref="B3:C3"/>
    <mergeCell ref="C4:C13"/>
    <mergeCell ref="A1:N1"/>
    <mergeCell ref="A2:D2"/>
    <mergeCell ref="E2:K2"/>
    <mergeCell ref="A14:A23"/>
    <mergeCell ref="B14:B23"/>
    <mergeCell ref="E14:E21"/>
    <mergeCell ref="E4:E11"/>
    <mergeCell ref="D4:D13"/>
    <mergeCell ref="F22:H22"/>
    <mergeCell ref="F23:N23"/>
    <mergeCell ref="F33:N33"/>
    <mergeCell ref="F43:N43"/>
    <mergeCell ref="C14:C23"/>
    <mergeCell ref="D14:D23"/>
    <mergeCell ref="B24:B33"/>
    <mergeCell ref="C24:C33"/>
    <mergeCell ref="D24:D33"/>
    <mergeCell ref="E24:E31"/>
    <mergeCell ref="F32:H32"/>
    <mergeCell ref="A24:A33"/>
    <mergeCell ref="A34:A43"/>
    <mergeCell ref="B34:B43"/>
    <mergeCell ref="C34:C43"/>
    <mergeCell ref="D34:D43"/>
    <mergeCell ref="E34:E41"/>
    <mergeCell ref="F42:H42"/>
    <mergeCell ref="A44:A53"/>
    <mergeCell ref="B44:B53"/>
    <mergeCell ref="C44:C53"/>
    <mergeCell ref="D44:D53"/>
    <mergeCell ref="E44:E51"/>
    <mergeCell ref="F52:H52"/>
    <mergeCell ref="F53:N53"/>
    <mergeCell ref="A74:A83"/>
    <mergeCell ref="B74:B83"/>
    <mergeCell ref="C74:C83"/>
    <mergeCell ref="D74:D83"/>
    <mergeCell ref="E74:E81"/>
    <mergeCell ref="F82:H82"/>
    <mergeCell ref="F83:N83"/>
    <mergeCell ref="F122:H122"/>
    <mergeCell ref="F132:H132"/>
    <mergeCell ref="F12:H12"/>
    <mergeCell ref="F13:N13"/>
    <mergeCell ref="A204:A213"/>
    <mergeCell ref="B204:B213"/>
    <mergeCell ref="C204:C213"/>
    <mergeCell ref="D204:D213"/>
    <mergeCell ref="E204:E211"/>
    <mergeCell ref="F212:H212"/>
    <mergeCell ref="F213:N213"/>
    <mergeCell ref="A214:A223"/>
    <mergeCell ref="B214:B223"/>
    <mergeCell ref="C214:C223"/>
    <mergeCell ref="D214:D223"/>
    <mergeCell ref="E214:E221"/>
    <mergeCell ref="F222:H222"/>
    <mergeCell ref="F223:N223"/>
    <mergeCell ref="N217:N221"/>
    <mergeCell ref="N227:N231"/>
    <mergeCell ref="A224:A233"/>
    <mergeCell ref="B224:B233"/>
    <mergeCell ref="C224:C233"/>
    <mergeCell ref="D224:D233"/>
    <mergeCell ref="E224:E231"/>
    <mergeCell ref="F232:H232"/>
    <mergeCell ref="F233:N233"/>
    <mergeCell ref="N237:N241"/>
    <mergeCell ref="N247:N251"/>
    <mergeCell ref="N147:N151"/>
    <mergeCell ref="N157:N161"/>
    <mergeCell ref="N167:N171"/>
    <mergeCell ref="N177:N181"/>
    <mergeCell ref="N187:N191"/>
    <mergeCell ref="N197:N201"/>
    <mergeCell ref="N207:N211"/>
    <mergeCell ref="A244:A253"/>
    <mergeCell ref="B244:B253"/>
    <mergeCell ref="C244:C253"/>
    <mergeCell ref="D244:D253"/>
    <mergeCell ref="E244:E251"/>
    <mergeCell ref="F252:H252"/>
    <mergeCell ref="F253:N253"/>
    <mergeCell ref="B254:B263"/>
    <mergeCell ref="C254:C263"/>
    <mergeCell ref="D254:D263"/>
    <mergeCell ref="E254:E261"/>
    <mergeCell ref="N257:N261"/>
    <mergeCell ref="F262:H262"/>
    <mergeCell ref="F263:N263"/>
    <mergeCell ref="F272:H272"/>
    <mergeCell ref="F273:N273"/>
    <mergeCell ref="A254:A263"/>
    <mergeCell ref="A264:A273"/>
    <mergeCell ref="B264:B273"/>
    <mergeCell ref="C264:C273"/>
    <mergeCell ref="D264:D273"/>
    <mergeCell ref="E264:E271"/>
    <mergeCell ref="N267:N271"/>
    <mergeCell ref="B114:B123"/>
    <mergeCell ref="C114:C123"/>
    <mergeCell ref="D114:D123"/>
    <mergeCell ref="E114:E121"/>
    <mergeCell ref="N116:N121"/>
    <mergeCell ref="F123:N123"/>
    <mergeCell ref="N126:N131"/>
    <mergeCell ref="F133:N133"/>
    <mergeCell ref="A114:A123"/>
    <mergeCell ref="A124:A133"/>
    <mergeCell ref="B124:B133"/>
    <mergeCell ref="C124:C133"/>
    <mergeCell ref="D124:D133"/>
    <mergeCell ref="E124:E131"/>
    <mergeCell ref="A134:A143"/>
    <mergeCell ref="A154:A163"/>
    <mergeCell ref="B154:B163"/>
    <mergeCell ref="C154:C163"/>
    <mergeCell ref="D154:D163"/>
    <mergeCell ref="E154:E161"/>
    <mergeCell ref="F162:H162"/>
    <mergeCell ref="F163:N163"/>
    <mergeCell ref="D134:D143"/>
    <mergeCell ref="E134:E141"/>
    <mergeCell ref="N137:N141"/>
    <mergeCell ref="F142:H142"/>
    <mergeCell ref="F143:N143"/>
    <mergeCell ref="F152:H152"/>
    <mergeCell ref="F153:N153"/>
    <mergeCell ref="B134:B143"/>
    <mergeCell ref="C134:C143"/>
    <mergeCell ref="A144:A153"/>
    <mergeCell ref="B144:B153"/>
    <mergeCell ref="C144:C153"/>
    <mergeCell ref="D144:D153"/>
    <mergeCell ref="E144:E151"/>
    <mergeCell ref="A234:A243"/>
    <mergeCell ref="B234:B243"/>
    <mergeCell ref="C234:C243"/>
    <mergeCell ref="D234:D243"/>
    <mergeCell ref="E234:E241"/>
    <mergeCell ref="F242:H242"/>
    <mergeCell ref="F243:N243"/>
    <mergeCell ref="F282:H282"/>
    <mergeCell ref="F291:H291"/>
    <mergeCell ref="A342:A350"/>
    <mergeCell ref="B342:B350"/>
    <mergeCell ref="C342:C350"/>
    <mergeCell ref="D342:D350"/>
    <mergeCell ref="E342:E348"/>
    <mergeCell ref="F349:H349"/>
    <mergeCell ref="F350:N350"/>
    <mergeCell ref="A351:A360"/>
    <mergeCell ref="B351:B360"/>
    <mergeCell ref="C351:C360"/>
    <mergeCell ref="D351:D360"/>
    <mergeCell ref="E351:E357"/>
    <mergeCell ref="F359:H359"/>
    <mergeCell ref="F360:N360"/>
    <mergeCell ref="A478:A489"/>
    <mergeCell ref="B478:B489"/>
    <mergeCell ref="C478:C489"/>
    <mergeCell ref="D478:D489"/>
    <mergeCell ref="E478:E487"/>
    <mergeCell ref="F488:H488"/>
    <mergeCell ref="F489:N489"/>
    <mergeCell ref="A490:A499"/>
    <mergeCell ref="B490:B499"/>
    <mergeCell ref="C490:C499"/>
    <mergeCell ref="D490:D499"/>
    <mergeCell ref="E490:E497"/>
    <mergeCell ref="F498:H498"/>
    <mergeCell ref="F499:N499"/>
    <mergeCell ref="A500:A509"/>
    <mergeCell ref="B500:B509"/>
    <mergeCell ref="C500:C509"/>
    <mergeCell ref="D500:D509"/>
    <mergeCell ref="E500:E507"/>
    <mergeCell ref="F508:H508"/>
    <mergeCell ref="F509:N509"/>
    <mergeCell ref="A510:A518"/>
    <mergeCell ref="B510:B518"/>
    <mergeCell ref="C510:C518"/>
    <mergeCell ref="D510:D518"/>
    <mergeCell ref="E510:E516"/>
    <mergeCell ref="F517:H517"/>
    <mergeCell ref="F518:N518"/>
    <mergeCell ref="B427:B437"/>
    <mergeCell ref="C427:C437"/>
    <mergeCell ref="D427:D437"/>
    <mergeCell ref="E427:E435"/>
    <mergeCell ref="N431:N435"/>
    <mergeCell ref="F437:N437"/>
    <mergeCell ref="N441:N445"/>
    <mergeCell ref="F447:N447"/>
    <mergeCell ref="A427:A437"/>
    <mergeCell ref="A438:A447"/>
    <mergeCell ref="B438:B447"/>
    <mergeCell ref="C438:C447"/>
    <mergeCell ref="D438:D447"/>
    <mergeCell ref="E438:E445"/>
    <mergeCell ref="A448:A457"/>
    <mergeCell ref="A468:A477"/>
    <mergeCell ref="B468:B477"/>
    <mergeCell ref="C468:C477"/>
    <mergeCell ref="D468:D477"/>
    <mergeCell ref="E468:E475"/>
    <mergeCell ref="F476:H476"/>
    <mergeCell ref="F477:N477"/>
    <mergeCell ref="N461:N465"/>
    <mergeCell ref="N471:N475"/>
    <mergeCell ref="N481:N487"/>
    <mergeCell ref="N493:N497"/>
    <mergeCell ref="N503:N507"/>
    <mergeCell ref="N513:N516"/>
    <mergeCell ref="D448:D457"/>
    <mergeCell ref="E448:E455"/>
    <mergeCell ref="N451:N455"/>
    <mergeCell ref="F456:H456"/>
    <mergeCell ref="F457:N457"/>
    <mergeCell ref="F466:H466"/>
    <mergeCell ref="F467:N467"/>
    <mergeCell ref="B448:B457"/>
    <mergeCell ref="C448:C457"/>
    <mergeCell ref="A458:A467"/>
    <mergeCell ref="B458:B467"/>
    <mergeCell ref="C458:C467"/>
    <mergeCell ref="D458:D467"/>
    <mergeCell ref="E458:E465"/>
    <mergeCell ref="F520:G520"/>
    <mergeCell ref="F521:G521"/>
    <mergeCell ref="K526:L526"/>
    <mergeCell ref="F527:G527"/>
    <mergeCell ref="H527:J527"/>
    <mergeCell ref="K527:L527"/>
    <mergeCell ref="K528:L528"/>
    <mergeCell ref="F529:G529"/>
    <mergeCell ref="H529:J529"/>
    <mergeCell ref="K529:L529"/>
    <mergeCell ref="A519:D529"/>
    <mergeCell ref="E519:E529"/>
    <mergeCell ref="F519:J519"/>
    <mergeCell ref="K519:M519"/>
    <mergeCell ref="N519:N528"/>
    <mergeCell ref="H520:J520"/>
    <mergeCell ref="K520:L520"/>
    <mergeCell ref="H521:J521"/>
    <mergeCell ref="K521:L521"/>
    <mergeCell ref="F522:G522"/>
    <mergeCell ref="H522:J522"/>
    <mergeCell ref="K522:L522"/>
    <mergeCell ref="F523:G523"/>
    <mergeCell ref="H523:J523"/>
    <mergeCell ref="K523:L523"/>
    <mergeCell ref="F524:G524"/>
    <mergeCell ref="H524:J524"/>
    <mergeCell ref="K524:L524"/>
    <mergeCell ref="F525:G525"/>
    <mergeCell ref="H525:J525"/>
    <mergeCell ref="K525:L525"/>
    <mergeCell ref="F526:G526"/>
    <mergeCell ref="H526:J526"/>
    <mergeCell ref="F528:G528"/>
    <mergeCell ref="H528:J528"/>
    <mergeCell ref="A320:A332"/>
    <mergeCell ref="B320:B332"/>
    <mergeCell ref="C320:C332"/>
    <mergeCell ref="D320:D332"/>
    <mergeCell ref="E320:E330"/>
    <mergeCell ref="F331:H331"/>
    <mergeCell ref="F332:N332"/>
    <mergeCell ref="A333:A341"/>
    <mergeCell ref="B333:B341"/>
    <mergeCell ref="C333:C341"/>
    <mergeCell ref="D333:D341"/>
    <mergeCell ref="E333:E339"/>
    <mergeCell ref="F340:H340"/>
    <mergeCell ref="F341:N341"/>
    <mergeCell ref="A361:A369"/>
    <mergeCell ref="B361:B369"/>
    <mergeCell ref="C361:C369"/>
    <mergeCell ref="D361:D369"/>
    <mergeCell ref="E361:E367"/>
    <mergeCell ref="F368:H368"/>
    <mergeCell ref="F369:N369"/>
    <mergeCell ref="A370:A378"/>
    <mergeCell ref="B370:B378"/>
    <mergeCell ref="C370:C378"/>
    <mergeCell ref="D370:D378"/>
    <mergeCell ref="E370:E376"/>
    <mergeCell ref="F377:H377"/>
    <mergeCell ref="F378:N378"/>
    <mergeCell ref="N373:N376"/>
    <mergeCell ref="N382:N385"/>
    <mergeCell ref="A379:A387"/>
    <mergeCell ref="B379:B387"/>
    <mergeCell ref="C379:C387"/>
    <mergeCell ref="D379:D387"/>
    <mergeCell ref="E379:E385"/>
    <mergeCell ref="F386:H386"/>
    <mergeCell ref="F387:N387"/>
    <mergeCell ref="N391:N394"/>
    <mergeCell ref="N400:N404"/>
    <mergeCell ref="N305:N308"/>
    <mergeCell ref="N314:N317"/>
    <mergeCell ref="N325:N330"/>
    <mergeCell ref="N336:N339"/>
    <mergeCell ref="N345:N348"/>
    <mergeCell ref="N354:N357"/>
    <mergeCell ref="N364:N367"/>
    <mergeCell ref="A397:A406"/>
    <mergeCell ref="B397:B406"/>
    <mergeCell ref="C397:C406"/>
    <mergeCell ref="D397:D406"/>
    <mergeCell ref="E397:E404"/>
    <mergeCell ref="F405:H405"/>
    <mergeCell ref="F406:N406"/>
    <mergeCell ref="B407:B416"/>
    <mergeCell ref="C407:C416"/>
    <mergeCell ref="D407:D416"/>
    <mergeCell ref="E407:E414"/>
    <mergeCell ref="N410:N414"/>
    <mergeCell ref="F415:H415"/>
    <mergeCell ref="F416:N416"/>
    <mergeCell ref="F425:H425"/>
    <mergeCell ref="F426:N426"/>
    <mergeCell ref="A407:A416"/>
    <mergeCell ref="A417:A426"/>
    <mergeCell ref="B417:B426"/>
    <mergeCell ref="C417:C426"/>
    <mergeCell ref="D417:D426"/>
    <mergeCell ref="E417:E424"/>
    <mergeCell ref="N420:N424"/>
    <mergeCell ref="B274:B283"/>
    <mergeCell ref="C274:C283"/>
    <mergeCell ref="D274:D283"/>
    <mergeCell ref="E274:E281"/>
    <mergeCell ref="N277:N281"/>
    <mergeCell ref="F283:N283"/>
    <mergeCell ref="N287:N290"/>
    <mergeCell ref="F292:N292"/>
    <mergeCell ref="A274:A283"/>
    <mergeCell ref="A284:A292"/>
    <mergeCell ref="B284:B292"/>
    <mergeCell ref="C284:C292"/>
    <mergeCell ref="D284:D292"/>
    <mergeCell ref="E284:E290"/>
    <mergeCell ref="A293:A301"/>
    <mergeCell ref="A311:A319"/>
    <mergeCell ref="B311:B319"/>
    <mergeCell ref="C311:C319"/>
    <mergeCell ref="D311:D319"/>
    <mergeCell ref="E311:E317"/>
    <mergeCell ref="F318:H318"/>
    <mergeCell ref="F319:N319"/>
    <mergeCell ref="D293:D301"/>
    <mergeCell ref="E293:E299"/>
    <mergeCell ref="N296:N299"/>
    <mergeCell ref="F300:H300"/>
    <mergeCell ref="F301:N301"/>
    <mergeCell ref="F309:H309"/>
    <mergeCell ref="F310:N310"/>
    <mergeCell ref="B293:B301"/>
    <mergeCell ref="C293:C301"/>
    <mergeCell ref="A302:A310"/>
    <mergeCell ref="B302:B310"/>
    <mergeCell ref="C302:C310"/>
    <mergeCell ref="D302:D310"/>
    <mergeCell ref="E302:E308"/>
    <mergeCell ref="A388:A396"/>
    <mergeCell ref="B388:B396"/>
    <mergeCell ref="C388:C396"/>
    <mergeCell ref="D388:D396"/>
    <mergeCell ref="E388:E394"/>
    <mergeCell ref="F395:H395"/>
    <mergeCell ref="F396:N396"/>
    <mergeCell ref="F436:H436"/>
    <mergeCell ref="F446:H446"/>
  </mergeCells>
  <dataValidations>
    <dataValidation type="custom" allowBlank="1" showDropDown="1" showInputMessage="1" showErrorMessage="1" prompt="資料重複" sqref="A530:A544">
      <formula1>COUNTIF($A$530:A1458, A530)=1</formula1>
    </dataValidation>
    <dataValidation type="custom" allowBlank="1" showDropDown="1" showInputMessage="1" showErrorMessage="1" prompt="資料重複" sqref="A545:A1458">
      <formula1>COUNTIF($A$530:A1458, A545)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9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