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03月" sheetId="1" r:id="rId4"/>
    <sheet state="visible" name="工作表1" sheetId="2" r:id="rId5"/>
    <sheet state="visible" name="工作表4" sheetId="3" r:id="rId6"/>
  </sheets>
  <definedNames/>
  <calcPr/>
  <extLst>
    <ext uri="GoogleSheetsCustomDataVersion2">
      <go:sheetsCustomData xmlns:go="http://customooxmlschemas.google.com/" r:id="rId7" roundtripDataChecksum="9D3JLnyNO5iTTv3DYDpfn6kN2fbZoVQ878PX5qzzvQo="/>
    </ext>
  </extLst>
</workbook>
</file>

<file path=xl/sharedStrings.xml><?xml version="1.0" encoding="utf-8"?>
<sst xmlns="http://schemas.openxmlformats.org/spreadsheetml/2006/main" count="1273" uniqueCount="245">
  <si>
    <t xml:space="preserve">台灣熊跑山俱樂部2025年度收支明細表
</t>
  </si>
  <si>
    <t>跑步資訊</t>
  </si>
  <si>
    <t>當週收入</t>
  </si>
  <si>
    <t>當週支出</t>
  </si>
  <si>
    <t>跑次</t>
  </si>
  <si>
    <t>日期</t>
  </si>
  <si>
    <t>地點</t>
  </si>
  <si>
    <t>收入項目</t>
  </si>
  <si>
    <t>金額</t>
  </si>
  <si>
    <t>人數</t>
  </si>
  <si>
    <r>
      <rPr>
        <rFont val="Arial"/>
        <b/>
        <color theme="1"/>
        <sz val="14.0"/>
      </rPr>
      <t xml:space="preserve">報到收入
</t>
    </r>
    <r>
      <rPr>
        <rFont val="Arial"/>
        <b/>
        <color rgb="FFFF0000"/>
        <sz val="14.0"/>
      </rPr>
      <t>(自動計算)</t>
    </r>
  </si>
  <si>
    <t>支出項目</t>
  </si>
  <si>
    <t>支出金額</t>
  </si>
  <si>
    <t>本週收入-支出</t>
  </si>
  <si>
    <t>土城年會</t>
  </si>
  <si>
    <t>上週結餘</t>
  </si>
  <si>
    <t>年會Bash:大人</t>
  </si>
  <si>
    <t>40次外套@1100x67人</t>
  </si>
  <si>
    <t>年會Bash:小孩</t>
  </si>
  <si>
    <t>25次帽T@350x125人</t>
  </si>
  <si>
    <t>本週結餘</t>
  </si>
  <si>
    <t>年會Bash:汶萊熊友</t>
  </si>
  <si>
    <t>10次短T袖@170x230人</t>
  </si>
  <si>
    <t>舞台音樂燈光</t>
  </si>
  <si>
    <t>帆布鐵架30尺3間$21000，15尺5間$7500</t>
  </si>
  <si>
    <t>年會午餐</t>
  </si>
  <si>
    <t>年會晚餐@5000x21桌</t>
  </si>
  <si>
    <t>台啤@42.5x120瓶</t>
  </si>
  <si>
    <t>芭樂汁1箱</t>
  </si>
  <si>
    <t>茶飲料1箱</t>
  </si>
  <si>
    <t>另加買茶飲料</t>
  </si>
  <si>
    <t>場地費(清水祖師廟)</t>
  </si>
  <si>
    <t>清潔費(清水祖師廟)</t>
  </si>
  <si>
    <t>支出合計</t>
  </si>
  <si>
    <t>龜山</t>
  </si>
  <si>
    <t>男</t>
  </si>
  <si>
    <t>週報</t>
  </si>
  <si>
    <t>女</t>
  </si>
  <si>
    <t>財報</t>
  </si>
  <si>
    <t>小孩</t>
  </si>
  <si>
    <t>免子麵粉補助</t>
  </si>
  <si>
    <t>童</t>
  </si>
  <si>
    <t>水車車資</t>
  </si>
  <si>
    <t>補跑次(男)</t>
  </si>
  <si>
    <t>酒水飲料</t>
  </si>
  <si>
    <t>補跑次(女）</t>
  </si>
  <si>
    <t>其他支出1</t>
  </si>
  <si>
    <t>其他收入1</t>
  </si>
  <si>
    <t>其他支出2</t>
  </si>
  <si>
    <t>其他收入2</t>
  </si>
  <si>
    <t>備註說明;</t>
  </si>
  <si>
    <t xml:space="preserve">兔子麵粉補助：2女。                                                                                                            其他支出1:花生440.葡萄220.餅乾630.紅豆600.紫米60.糖50.冰160.杯子180.等$2340。                                                                                                                                                                                                           </t>
  </si>
  <si>
    <t>桃園</t>
  </si>
  <si>
    <t xml:space="preserve">兔子麵粉補助：1男1女。                                                                                                            其他支出1:花生880.葡萄110.餅乾360.紅豆600.紫米60.糖50.冰160.粉筆95.香油錢1200.等$3515。                                                                                                                                                                                                           </t>
  </si>
  <si>
    <t>三峽</t>
  </si>
  <si>
    <t>兔子麵粉補助：1男1女。                                                                                                            其他支出1:花生770.葡萄乾220.餅乾450.紅豆600.紫米60.糖50.冰180.等$2330。                                                                                                                                                                                                                     其他支出2:香油錢1200.花圈3000等$4200。</t>
  </si>
  <si>
    <t>土城</t>
  </si>
  <si>
    <t>兔子麵粉補助：1男1女。                                                                                                            其他支出1:花生880.葡萄乾220.餅乾450.紅豆600.紫米60.糖50.冰60.等$2320。                                                                                                                                                                                                                     其他支出2:蛋糕2200.金紙45.停車費80.等$2325。</t>
  </si>
  <si>
    <t>象山</t>
  </si>
  <si>
    <t xml:space="preserve">兔子麵粉補助：1男1女。                                                                                                            其他支出1:花生660.葡萄乾220.餅乾540.冰60.香油錢1200.杯子180.瓦斯410.粉筆95.等$3365。                                                                                                                                                                                                                     </t>
  </si>
  <si>
    <t>兔子麵粉補助：2男。                                                                                                            其他支出1:花生770.葡萄乾220.餅乾540.紅豆600.紫米60.糖50.冰120.等$2360。                                                                                                                                                                                                                     其他支出2:香油錢1200.1000次獎杯3600等$4800。</t>
  </si>
  <si>
    <t xml:space="preserve">兔子麵粉補助：2男。                                                                                                            其他支出1:花生880.葡萄乾220.餅乾540.紅豆600.紫米60.糖50.冰180.等$2530。                                                                                                                                                                                                                     </t>
  </si>
  <si>
    <t>雙溪</t>
  </si>
  <si>
    <t xml:space="preserve">兔子麵粉補助：2男。                                                                                                            其他支出1:花生770.葡萄乾220.餅乾540.紅豆600.紫米60.糖50.冰60.杯子180.垃圾袋100.+金紙45等$2625。                                                                                                                                                                                                                     </t>
  </si>
  <si>
    <t>中和</t>
  </si>
  <si>
    <t>兔子麵粉補助：1男1女。                                                                                                            其他支出1:花生880.葡萄乾110.餅乾270.紅豆600.紫米60.糖50.冰60.粉筆80等$2110。                                                                                                                                                                                                                     其他支出2:香油錢1200.蛋糕2200等$3400。</t>
  </si>
  <si>
    <t xml:space="preserve">兔子麵粉補助：2女。                                                                                                            其他支出1:花生880.葡萄乾120.餅乾270.紅豆600.紫米60.糖50.冰120.可樂260.小小水90.等$2440。                                                                                                                                                                                                                     </t>
  </si>
  <si>
    <t>貓空</t>
  </si>
  <si>
    <t>其他收入1:售花生</t>
  </si>
  <si>
    <t xml:space="preserve">兔子麵粉補助：1男1女。                                                                                                            其他支出1:花生770.葡萄乾220.餅乾540.紅豆600.紫米60.糖50.冰150.四腳水桶2個720.等$3140。                                                                                                                                                                                                                     </t>
  </si>
  <si>
    <t>樹林</t>
  </si>
  <si>
    <t>兔子贊助</t>
  </si>
  <si>
    <t>補給站啤酒2箱$1260</t>
  </si>
  <si>
    <t>跑衣</t>
  </si>
  <si>
    <t>補給站啤酒</t>
  </si>
  <si>
    <t>豆花</t>
  </si>
  <si>
    <t>兔子麵粉補助：4男。                                                                                                            其他支出1:花生1100.葡萄乾110.餅乾270.紅豆600.紫米60.糖50.冰300.等$2490。                                                                                                                                                                                                                     其他支出2:香油錢1200.手環貼紙1200.杯子240.垃圾袋50.香蕉1315.借用雜貨店門口買飲料300.等$4305</t>
  </si>
  <si>
    <t>陽明山</t>
  </si>
  <si>
    <t>其他支出3</t>
  </si>
  <si>
    <t>兔子麵粉補助：1男1女。                                                                                                            其他支出1:花生770.葡萄乾220.餅乾810.綠豆210.薏仁40.糖50.冰180.等$2280。                                                                                                                                                                                                                     其他支出2:蛋糕2200.+坦克劉建河花籃2000.等$4200</t>
  </si>
  <si>
    <t>新店</t>
  </si>
  <si>
    <t>兔子麵粉補助：2男。                                                                                                            其他支出1:花生660.葡萄乾220.餅乾540.綠豆210.薏仁40.糖50.冰300.香油錢300.粉筆95.金紙45。                                                                                                                                                                                                                     其他支出2:望鄉4位兔子$800.</t>
  </si>
  <si>
    <t>卡里布安(望鄉)特跑</t>
  </si>
  <si>
    <t>都構密斯+住宿費用</t>
  </si>
  <si>
    <t>遊覽車3部$31000</t>
  </si>
  <si>
    <t>兀瑪斯+住宿費用</t>
  </si>
  <si>
    <t>車上備水3台車</t>
  </si>
  <si>
    <t>谷魯巴+住宿費用</t>
  </si>
  <si>
    <t>保險99人</t>
  </si>
  <si>
    <t>贊助人4隻兔子</t>
  </si>
  <si>
    <t>餅乾3大袋 花生</t>
  </si>
  <si>
    <t>司機住宿</t>
  </si>
  <si>
    <t>烤豬壹隻</t>
  </si>
  <si>
    <t>都構密斯住宿費用</t>
  </si>
  <si>
    <t>大摩威士忌1 5瓶</t>
  </si>
  <si>
    <t>兀瑪斯住宿費用</t>
  </si>
  <si>
    <t>高梁2公升瓷器二罐</t>
  </si>
  <si>
    <t>谷魯巴住宿費用</t>
  </si>
  <si>
    <t>砍路做路费用</t>
  </si>
  <si>
    <t>22日午餐便當$100*100</t>
  </si>
  <si>
    <t>22日晚餐辦桌$5000*10</t>
  </si>
  <si>
    <t>22日晚餐水酒</t>
  </si>
  <si>
    <t>22日場地費用</t>
  </si>
  <si>
    <t>22日卡拉ok</t>
  </si>
  <si>
    <t>23日午餐$3000*10</t>
  </si>
  <si>
    <t>23日午餐水酒</t>
  </si>
  <si>
    <t>23日晚餐$5000*10</t>
  </si>
  <si>
    <t>23日晚餐水酒</t>
  </si>
  <si>
    <t>收入合計</t>
  </si>
  <si>
    <t>備註說明</t>
  </si>
  <si>
    <t xml:space="preserve">兔子麵粉補助：2女。                                                                                                            其他支出1:花生660.葡萄乾440.餅乾900.綠豆210.薏仁40.糖50.冰300.香油錢1200.杯子180.垃圾袋100.耐油袋30等$4110。                                                                                                                                                                                                                     </t>
  </si>
  <si>
    <t>北投</t>
  </si>
  <si>
    <t xml:space="preserve">兔子麵粉補助：1男1女。                                                                                                            其他支出1:花生770.葡萄乾220.餅乾540.綠豆210.薏仁40.糖50.冰300.香油錢1200等$3330。                                                                                                                                                                                                                     </t>
  </si>
  <si>
    <t>九份</t>
  </si>
  <si>
    <t>兔子麵粉補助：2男。                                                                                                            其他支出1:花生550.葡萄乾110.餅乾270.綠豆210.薏仁40.糖50.冰300.瓦斯375等$2105。                                                                                                                                                                                                                     其他支出2:蛋糕$2200。</t>
  </si>
  <si>
    <t>關西</t>
  </si>
  <si>
    <t xml:space="preserve">兔子麵粉補助：2男。                                                                                                            其他支出1:花生550.葡萄乾110.餅乾270.綠豆210.薏仁40.糖50.冰300.水桶220.香油錢1200.等$2950。                                                                                                                                                                                                             </t>
  </si>
  <si>
    <t>宜蘭聖陵線</t>
  </si>
  <si>
    <t>遊覽車3台</t>
  </si>
  <si>
    <t>午餐飯糰$60*142pcs=8520,折讓20</t>
  </si>
  <si>
    <t>保險139人</t>
  </si>
  <si>
    <t>啤酒車（宜蘭）</t>
  </si>
  <si>
    <t>酒水</t>
  </si>
  <si>
    <t>晚餐$3500*14桌</t>
  </si>
  <si>
    <t xml:space="preserve">其他支出1:花生880.葡萄乾220.餅乾270.仙草650.冰500.七七巧克力1050.檸檬鹽糖550.停車50.粉筆95.杯子180等$4445。                                                                                               其他支出2:酒10970.飲料950.炒麵100折讓20等$12000。                                                                                                                                                                                                            </t>
  </si>
  <si>
    <t>基隆</t>
  </si>
  <si>
    <t xml:space="preserve">兔子麵粉補助：2男。                                                                                                            其他支出1:花生550.葡萄乾220.餅乾630.仙草550.糖100.冰500.停車75.等$2625。                                                                                                                                                                                                             </t>
  </si>
  <si>
    <t>福隆</t>
  </si>
  <si>
    <t>兔子麵粉補助：1男1女。                                                                                                            其他支出1:花生550.葡萄乾110.餅乾老270.仙草550.糖100.冰500.等$2080。                                                                                                                                                                                                             其他支出2:香油錢1200.蛋糕2200等$3400。</t>
  </si>
  <si>
    <t>平溪</t>
  </si>
  <si>
    <t>其他收入1:售酒</t>
  </si>
  <si>
    <t xml:space="preserve">兔子麵粉補助：1男1女。                                                                                                            其他支出1:花生550.葡萄乾110.餅乾180.仙草550.糖100.冰500.杯子180.清潔袋100等$2270。                                                                                                                                                                                                             </t>
  </si>
  <si>
    <t xml:space="preserve">兔子麵粉補助：1男1女。                                                                                                            其他支出1:花生660.葡萄乾110.餅乾450.仙草660.糖100.冰620.香油錢1200等$3690。                                                                                                                                                                                                             </t>
  </si>
  <si>
    <t>兔子麵粉補助：2男。                                                                                                            其他支出1:花生550.葡萄乾110.餅乾180.仙草660.糖100.冰620.粉筆95.杯子180.香油錢1200等$3695。                                                                                                                                                                                                             其他支出2:普渡餅乾1880.普渡三牲1510.普渡水果5900.普渡金紙692等$9982</t>
  </si>
  <si>
    <t>兔子麵粉補助：1男1女。                                                                                                            其他支出1:花生550.葡萄乾110.餅乾450.仙草660.糖100.冰620.停車費130等$2620。                                                                                                                                                                                                             其他支出2:蛋糕2200.獎杯@3400*2等$9000</t>
  </si>
  <si>
    <t>坪林</t>
  </si>
  <si>
    <t>兔子麵粉補助：2男。                                                                                                            其他支出1:花生770.葡萄乾220.餅乾270.仙草660.糖100.冰620.金紙45.竹籤20等$2705。                                                                                                                                                                                                             其他支出2:香油錢1200</t>
  </si>
  <si>
    <t>新竹特跑</t>
  </si>
  <si>
    <t>台灣熊遊覽車-男</t>
  </si>
  <si>
    <t>帽子150pcs</t>
  </si>
  <si>
    <t>台灣熊遊覽車-女</t>
  </si>
  <si>
    <t>中午便當108*90</t>
  </si>
  <si>
    <t>兔子贊助跑衣</t>
  </si>
  <si>
    <t>遊覽車2部</t>
  </si>
  <si>
    <t>贊助人-高榮順贊助威士忌1瓶</t>
  </si>
  <si>
    <t>晚餐11*5500</t>
  </si>
  <si>
    <t>贊助人-正義贊助威士忌2瓶</t>
  </si>
  <si>
    <t>晚餐酒和飲料3760折讓60</t>
  </si>
  <si>
    <t>會長贊助西瓜</t>
  </si>
  <si>
    <t>晚餐音響</t>
  </si>
  <si>
    <t>海報2張+跑衣設計</t>
  </si>
  <si>
    <t>保險費用</t>
  </si>
  <si>
    <t>花生550+兔子3男1女750</t>
  </si>
  <si>
    <t>香油錢</t>
  </si>
  <si>
    <t>糖水100 杯子180清潔袋180</t>
  </si>
  <si>
    <t>冰620粉筆95仙草660餅乾2150</t>
  </si>
  <si>
    <t>水車</t>
  </si>
  <si>
    <t>水酒8090葡萄乾110</t>
  </si>
  <si>
    <t>補給站水酒</t>
  </si>
  <si>
    <t>萬里</t>
  </si>
  <si>
    <t>三芝</t>
  </si>
  <si>
    <t xml:space="preserve">兔子麵粉補助：2男。                                                                                                            其他支出1:花生550.葡萄乾110.餅乾270.仙草660.糖100.冰620.金紙45.等$2355。                                                                                                                                                                                        </t>
  </si>
  <si>
    <t>贊助啤酒</t>
  </si>
  <si>
    <t>兔子麵粉補助：2男。                                                                                                            其他支出1:花生660.葡萄乾110.餅乾180.仙草660.糖100.冰620.掃把45.金紙45.等$2420。                                                                                                                                                                                         其他支出2:蛋糕2200</t>
  </si>
  <si>
    <t>林口</t>
  </si>
  <si>
    <t xml:space="preserve">兔子麵粉補助：1男1女。                                                                                                            其他支出1:花生660.葡萄乾110.餅乾450.仙草660.糖100.冰500.杯子180.-等$2770。                                                                                                                                                                              </t>
  </si>
  <si>
    <t>兔子麵粉補助：1男1女。                                                                                                            其他支出1:花生660.葡萄乾110.餅乾270.仙草660.糖100.冰500.粉筆95.等$2415。                                                                                                                                                                              其他支出3:1200</t>
  </si>
  <si>
    <t>龍潭</t>
  </si>
  <si>
    <t xml:space="preserve">兔子麵粉補助：2男。                                                                                                            其他支出1:花生550.葡萄乾90.餅乾270.仙草660.糖100.冰580.等$2575。                                                                                                                                                                     </t>
  </si>
  <si>
    <t>兔子麵粉補助：2男。                                                                                                            其他支出1:花生550.葡萄乾90.餅乾270.仙草660.糖100.冰580.等$2530。                                                                                                                                                                     其他支出2:蛋糕2200.香油錢1200共$3400</t>
  </si>
  <si>
    <t>兔子麵粉補助：2男。                                                                                                            其他支出1:花生770.葡萄乾180.餅乾135.仙草660.糖100.冰500.等$2345。                                                                                                                                                                     其他支出2:1000次水晶獎牌製作@3400*2共$6800</t>
  </si>
  <si>
    <t>士林</t>
  </si>
  <si>
    <t xml:space="preserve">兔子麵粉補助：1男1女。                                                                                                            其他支出1:花生700.葡萄乾90.餅乾270.仙草660.糖100.冰500.等$2320。                                                                                                                                                                     </t>
  </si>
  <si>
    <t>內湖</t>
  </si>
  <si>
    <t xml:space="preserve">兔子麵粉補助：2女。                                                                                                            其他支出1:花生500.葡萄乾90.餅乾270.仙草660.糖100.冰500.杯子180.粉筆95.等$2395。                                                                                                                                                                     </t>
  </si>
  <si>
    <t>兔子麵粉補助：2男。                                                                                                            其他支出1:花生700.葡萄乾90.餅乾270.仙草660.糖100.冰500.金紙45.等$2365。                                                                                                                                                                     其他支出2:蛋糕$2200</t>
  </si>
  <si>
    <t>兔子麵粉補助：2男。                                                                                                            其他支出1:花生700.葡萄乾90.餅乾270.仙草660.糖100.冰500.等$2320。                                                                                                                                                                     其他支出2:花圈$2000</t>
  </si>
  <si>
    <t xml:space="preserve">兔子麵粉補助：1男1女。                                                                                                            其他支出1:花生500.葡萄乾90.餅乾450.仙草660.糖100.冰500.金紙45.杯子180等$2525。                                                                                                                                                                     </t>
  </si>
  <si>
    <t>木柵</t>
  </si>
  <si>
    <t>兔子麵粉補助：2女。                                                                                                            其他支出1:葡萄乾90.餅乾450.仙草660.糖100.冰500.金紙45.等$1845。                                                                                                                                                                     其他支出2:兔子禮雨衣109*680+1*698等$74818</t>
  </si>
  <si>
    <t>觀音山</t>
  </si>
  <si>
    <t xml:space="preserve">兔子麵粉補助：2男。                                                                                                            其他支出1:花生1000.葡萄乾90.餅乾270.仙草660.糖100.冰500.等$2620。                                                                                                                                                                  </t>
  </si>
  <si>
    <t>泰山</t>
  </si>
  <si>
    <t>兔子麵粉補助：1男1女。                                                                                                            其他支出1:花生800.葡萄乾90.餅乾180.仙草660.冰580.杯子180.等$2490。                                                                                                                                                                  其他支出2:頂泰山巖香油錢1200。</t>
  </si>
  <si>
    <t>苗栗三合會</t>
  </si>
  <si>
    <t>日新餐飲24*3500</t>
  </si>
  <si>
    <t>便當185*100</t>
  </si>
  <si>
    <t>台灣熊遊覽車-小孩</t>
  </si>
  <si>
    <t>冰塊及碗筷</t>
  </si>
  <si>
    <t>台灣熊女生當天報名</t>
  </si>
  <si>
    <t>客家麻糬</t>
  </si>
  <si>
    <t>台灣熊自駕-男</t>
  </si>
  <si>
    <t>仙草</t>
  </si>
  <si>
    <t>台灣熊自駕-女</t>
  </si>
  <si>
    <t>黑糖糕</t>
  </si>
  <si>
    <t>古萊</t>
  </si>
  <si>
    <t>烤豬</t>
  </si>
  <si>
    <t>文萊</t>
  </si>
  <si>
    <t>遊覽車4部</t>
  </si>
  <si>
    <t>馬什</t>
  </si>
  <si>
    <t>永平</t>
  </si>
  <si>
    <t>會場布置</t>
  </si>
  <si>
    <t>賣衣服</t>
  </si>
  <si>
    <t>卡拉OK</t>
  </si>
  <si>
    <t>贊助人-江慶文</t>
  </si>
  <si>
    <t>場地費</t>
  </si>
  <si>
    <t>贊助人-廖松沅</t>
  </si>
  <si>
    <t>晚餐啤酒飲料</t>
  </si>
  <si>
    <t>贊助人-蕭如玲</t>
  </si>
  <si>
    <t>贊助人-高文吉</t>
  </si>
  <si>
    <t>千華廣告關東旗</t>
  </si>
  <si>
    <t>贊助人-龐有情</t>
  </si>
  <si>
    <t>花生</t>
  </si>
  <si>
    <t>贊助人-周清圳</t>
  </si>
  <si>
    <t>衣服254*220+3*330+運費150+80</t>
  </si>
  <si>
    <t>贊助人-周加強</t>
  </si>
  <si>
    <t>贊助人-張建銘</t>
  </si>
  <si>
    <t>贊助人-江佳政</t>
  </si>
  <si>
    <t>贊助人-鄭深太</t>
  </si>
  <si>
    <t>贊助人-王坤徒</t>
  </si>
  <si>
    <t>贊助人-許懷泰</t>
  </si>
  <si>
    <t>贊助人-黃連旺</t>
  </si>
  <si>
    <t>贊助人-林茂精</t>
  </si>
  <si>
    <t>贊助人-鄭天賜</t>
  </si>
  <si>
    <t xml:space="preserve">    贊助人-張簡茂森</t>
  </si>
  <si>
    <t xml:space="preserve">  贊助人-謝永峰</t>
  </si>
  <si>
    <t xml:space="preserve">                   桑和蓓贊助金門高粱12瓶</t>
  </si>
  <si>
    <t xml:space="preserve">     親妹妹贊助咖啡</t>
  </si>
  <si>
    <t>AIR 后里</t>
  </si>
  <si>
    <t>遊覽車車資</t>
  </si>
  <si>
    <t>便當34人*100</t>
  </si>
  <si>
    <t>會長補貼不足款</t>
  </si>
  <si>
    <t xml:space="preserve">其他支出1:台中AIR33人*@1100等$36300。                                                                                                                                                         </t>
  </si>
  <si>
    <t>兔子麵粉補助：2男。                                                                                                            其他支出1:花生700.葡萄乾180.餅乾540.綠豆180.小薏仁40.糖漿40.冰300.等$1980。                                                                                                                                                                  其他支出2:網路費用5859.匯費30等$5889。</t>
  </si>
  <si>
    <t>兔子麵粉補助：2女。                                                                                                            其他支出1:花生700.葡萄乾180.餅乾540.綠豆180.小薏仁40.糖漿40.冰180.盤子30.粉筆95等$1985。                                                                                                                                                                  其他支出2:4月份生日蛋糕2200</t>
  </si>
  <si>
    <t>蘆竹</t>
  </si>
  <si>
    <t xml:space="preserve">兔子麵粉補助：2男                                                                                                                  其他支出1:花生800.葡萄乾270.餅乾540.紅豆600.紫米60.糖漿40.冰180.金紙45等$2535。                                                                                                                                                          </t>
  </si>
  <si>
    <t>兔子麵粉補助：1男1女                                                                                                          其他支出1:花生700.葡萄乾270.餅乾540.紅豆600.紫米60.糖漿40.冰300.垃圾袋100.杯子180.等$2790。                                                                                                                                                          其他支出2:香油錢1200.停車費240等$1440</t>
  </si>
  <si>
    <t>金山</t>
  </si>
  <si>
    <t xml:space="preserve">兔子麵粉補助：1男1女                                                                                                          其他支出1:花生700.葡萄乾180.餅乾450.紅豆600.紫米60.糖漿40.冰180.金紙45等$2255。                                                                                                                                                    </t>
  </si>
  <si>
    <t xml:space="preserve">兔子麵粉補助：1男1女                                                                                                          其他支出1:花生800.葡萄乾270.餅乾450.紅豆600.紫米60.糖漿40.冰60.金紙45等$2325。                                                                                                                                                    </t>
  </si>
  <si>
    <t>江子翠年會</t>
  </si>
  <si>
    <t>上期結餘</t>
  </si>
  <si>
    <t>其他收入1-衣服</t>
  </si>
  <si>
    <t xml:space="preserve">兔子麵粉補助：2男。                                                                                                             其他支出1:花生1000.葡萄乾180.餅乾1790.冰1410.等$4380。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</si>
</sst>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[$$]#,##0"/>
  </numFmts>
  <fonts count="26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b/>
      <sz val="11.0"/>
      <color theme="1"/>
      <name val="Arial"/>
    </font>
    <font>
      <sz val="14.0"/>
      <color theme="1"/>
      <name val="Arial"/>
    </font>
    <font>
      <b/>
      <sz val="9.0"/>
      <color theme="1"/>
      <name val="Arial"/>
    </font>
    <font>
      <color theme="1"/>
      <name val="Arial"/>
    </font>
    <font>
      <b/>
      <color theme="1"/>
      <name val="Arial"/>
    </font>
    <font>
      <b/>
      <sz val="14.0"/>
      <color rgb="FFFF0000"/>
      <name val="Arial"/>
    </font>
    <font>
      <b/>
      <sz val="14.0"/>
      <color rgb="FF0000FF"/>
      <name val="Arial"/>
    </font>
    <font>
      <b/>
      <sz val="13.0"/>
      <color rgb="FF0000FF"/>
      <name val="Arial"/>
    </font>
    <font>
      <b/>
      <sz val="14.0"/>
      <color theme="1"/>
      <name val="Arial"/>
      <scheme val="minor"/>
    </font>
    <font>
      <sz val="14.0"/>
      <color rgb="FF0000FF"/>
      <name val="Arial"/>
    </font>
    <font>
      <b/>
      <sz val="14.0"/>
      <color rgb="FFFF0000"/>
      <name val="Arial"/>
      <scheme val="minor"/>
    </font>
    <font>
      <b/>
      <sz val="8.0"/>
      <color theme="1"/>
      <name val="Arial"/>
    </font>
    <font>
      <b/>
      <sz val="13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9.0"/>
      <color rgb="FF0000FF"/>
      <name val="Arial"/>
    </font>
    <font>
      <b/>
      <sz val="11.0"/>
      <color theme="1"/>
      <name val="Arial"/>
      <scheme val="minor"/>
    </font>
    <font>
      <b/>
      <sz val="7.0"/>
      <color theme="1"/>
      <name val="Arial"/>
    </font>
    <font>
      <b/>
      <sz val="11.0"/>
      <color rgb="FF0000FF"/>
      <name val="Arial"/>
    </font>
    <font>
      <b/>
      <sz val="6.0"/>
      <color theme="1"/>
      <name val="Arial"/>
    </font>
    <font>
      <sz val="10.0"/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shrinkToFit="0" vertical="top" wrapText="1"/>
    </xf>
    <xf borderId="5" fillId="2" fontId="1" numFmtId="0" xfId="0" applyAlignment="1" applyBorder="1" applyFont="1">
      <alignment horizontal="center" shrinkToFit="0" vertical="top" wrapText="1"/>
    </xf>
    <xf borderId="1" fillId="3" fontId="3" numFmtId="0" xfId="0" applyAlignment="1" applyBorder="1" applyFill="1" applyFont="1">
      <alignment horizontal="center"/>
    </xf>
    <xf borderId="4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6" fillId="4" fontId="3" numFmtId="0" xfId="0" applyAlignment="1" applyBorder="1" applyFill="1" applyFont="1">
      <alignment horizontal="center" vertical="center"/>
    </xf>
    <xf borderId="6" fillId="3" fontId="4" numFmtId="0" xfId="0" applyAlignment="1" applyBorder="1" applyFont="1">
      <alignment horizontal="center"/>
    </xf>
    <xf borderId="4" fillId="4" fontId="4" numFmtId="0" xfId="0" applyAlignment="1" applyBorder="1" applyFont="1">
      <alignment horizontal="center" vertical="center"/>
    </xf>
    <xf borderId="5" fillId="4" fontId="4" numFmtId="0" xfId="0" applyAlignment="1" applyBorder="1" applyFont="1">
      <alignment horizontal="center" vertical="center"/>
    </xf>
    <xf borderId="7" fillId="3" fontId="5" numFmtId="0" xfId="0" applyAlignment="1" applyBorder="1" applyFont="1">
      <alignment horizontal="center" readingOrder="0" vertical="center"/>
    </xf>
    <xf borderId="8" fillId="3" fontId="5" numFmtId="164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7" fillId="3" fontId="3" numFmtId="0" xfId="0" applyAlignment="1" applyBorder="1" applyFont="1">
      <alignment horizontal="center" readingOrder="0" vertical="center"/>
    </xf>
    <xf borderId="7" fillId="3" fontId="3" numFmtId="0" xfId="0" applyAlignment="1" applyBorder="1" applyFont="1">
      <alignment horizontal="left" vertical="center"/>
    </xf>
    <xf borderId="6" fillId="3" fontId="6" numFmtId="0" xfId="0" applyAlignment="1" applyBorder="1" applyFont="1">
      <alignment horizontal="center" readingOrder="0"/>
    </xf>
    <xf borderId="6" fillId="3" fontId="3" numFmtId="165" xfId="0" applyAlignment="1" applyBorder="1" applyFont="1" applyNumberFormat="1">
      <alignment horizontal="center"/>
    </xf>
    <xf borderId="6" fillId="4" fontId="3" numFmtId="0" xfId="0" applyAlignment="1" applyBorder="1" applyFont="1">
      <alignment horizontal="right" readingOrder="0"/>
    </xf>
    <xf borderId="6" fillId="3" fontId="7" numFmtId="0" xfId="0" applyBorder="1" applyFont="1"/>
    <xf borderId="6" fillId="3" fontId="7" numFmtId="165" xfId="0" applyBorder="1" applyFont="1" applyNumberFormat="1"/>
    <xf borderId="6" fillId="3" fontId="3" numFmtId="165" xfId="0" applyAlignment="1" applyBorder="1" applyFont="1" applyNumberFormat="1">
      <alignment horizontal="right"/>
    </xf>
    <xf borderId="6" fillId="3" fontId="8" numFmtId="165" xfId="0" applyAlignment="1" applyBorder="1" applyFont="1" applyNumberFormat="1">
      <alignment horizontal="center" readingOrder="0" vertical="center"/>
    </xf>
    <xf borderId="6" fillId="3" fontId="3" numFmtId="165" xfId="0" applyAlignment="1" applyBorder="1" applyFont="1" applyNumberFormat="1">
      <alignment horizontal="right" readingOrder="0" vertical="center"/>
    </xf>
    <xf borderId="6" fillId="4" fontId="9" numFmtId="165" xfId="0" applyAlignment="1" applyBorder="1" applyFont="1" applyNumberFormat="1">
      <alignment horizontal="center" vertical="center"/>
    </xf>
    <xf borderId="0" fillId="3" fontId="7" numFmtId="0" xfId="0" applyAlignment="1" applyFont="1">
      <alignment vertical="bottom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3" fontId="6" numFmtId="0" xfId="0" applyAlignment="1" applyBorder="1" applyFont="1">
      <alignment horizontal="left" readingOrder="0"/>
    </xf>
    <xf borderId="6" fillId="4" fontId="3" numFmtId="0" xfId="0" applyAlignment="1" applyBorder="1" applyFont="1">
      <alignment horizontal="right"/>
    </xf>
    <xf borderId="6" fillId="4" fontId="7" numFmtId="0" xfId="0" applyBorder="1" applyFont="1"/>
    <xf borderId="6" fillId="4" fontId="3" numFmtId="165" xfId="0" applyAlignment="1" applyBorder="1" applyFont="1" applyNumberFormat="1">
      <alignment horizontal="right" readingOrder="0" vertical="center"/>
    </xf>
    <xf borderId="7" fillId="4" fontId="3" numFmtId="0" xfId="0" applyAlignment="1" applyBorder="1" applyFont="1">
      <alignment horizontal="center" vertical="center"/>
    </xf>
    <xf borderId="6" fillId="3" fontId="6" numFmtId="0" xfId="0" applyAlignment="1" applyBorder="1" applyFont="1">
      <alignment horizontal="left" readingOrder="0" shrinkToFit="0" wrapText="1"/>
    </xf>
    <xf borderId="6" fillId="3" fontId="3" numFmtId="165" xfId="0" applyAlignment="1" applyBorder="1" applyFont="1" applyNumberFormat="1">
      <alignment horizontal="center" readingOrder="0"/>
    </xf>
    <xf borderId="6" fillId="3" fontId="7" numFmtId="165" xfId="0" applyAlignment="1" applyBorder="1" applyFont="1" applyNumberFormat="1">
      <alignment vertical="center"/>
    </xf>
    <xf borderId="6" fillId="3" fontId="3" numFmtId="165" xfId="0" applyAlignment="1" applyBorder="1" applyFont="1" applyNumberFormat="1">
      <alignment horizontal="right" vertical="center"/>
    </xf>
    <xf borderId="6" fillId="3" fontId="10" numFmtId="0" xfId="0" applyAlignment="1" applyBorder="1" applyFont="1">
      <alignment horizontal="center" vertical="center"/>
    </xf>
    <xf borderId="6" fillId="4" fontId="3" numFmtId="165" xfId="0" applyAlignment="1" applyBorder="1" applyFont="1" applyNumberFormat="1">
      <alignment horizontal="center" vertical="center"/>
    </xf>
    <xf borderId="6" fillId="4" fontId="3" numFmtId="0" xfId="0" applyAlignment="1" applyBorder="1" applyFont="1">
      <alignment horizontal="right" readingOrder="0" vertical="center"/>
    </xf>
    <xf borderId="6" fillId="4" fontId="7" numFmtId="0" xfId="0" applyAlignment="1" applyBorder="1" applyFont="1">
      <alignment vertical="center"/>
    </xf>
    <xf borderId="6" fillId="4" fontId="7" numFmtId="165" xfId="0" applyAlignment="1" applyBorder="1" applyFont="1" applyNumberFormat="1">
      <alignment vertical="center"/>
    </xf>
    <xf borderId="6" fillId="4" fontId="3" numFmtId="165" xfId="0" applyAlignment="1" applyBorder="1" applyFont="1" applyNumberFormat="1">
      <alignment horizontal="right" vertical="center"/>
    </xf>
    <xf borderId="6" fillId="3" fontId="8" numFmtId="165" xfId="0" applyAlignment="1" applyBorder="1" applyFont="1" applyNumberFormat="1">
      <alignment horizontal="left" readingOrder="0" vertical="center"/>
    </xf>
    <xf borderId="6" fillId="4" fontId="10" numFmtId="0" xfId="0" applyAlignment="1" applyBorder="1" applyFont="1">
      <alignment horizontal="center" vertical="center"/>
    </xf>
    <xf borderId="6" fillId="3" fontId="7" numFmtId="0" xfId="0" applyAlignment="1" applyBorder="1" applyFont="1">
      <alignment vertical="center"/>
    </xf>
    <xf borderId="6" fillId="3" fontId="6" numFmtId="165" xfId="0" applyAlignment="1" applyBorder="1" applyFont="1" applyNumberFormat="1">
      <alignment horizontal="left" readingOrder="0" shrinkToFit="0" vertical="center" wrapText="1"/>
    </xf>
    <xf borderId="6" fillId="4" fontId="11" numFmtId="0" xfId="0" applyAlignment="1" applyBorder="1" applyFont="1">
      <alignment horizontal="center" vertical="center"/>
    </xf>
    <xf borderId="6" fillId="3" fontId="3" numFmtId="165" xfId="0" applyAlignment="1" applyBorder="1" applyFont="1" applyNumberFormat="1">
      <alignment horizontal="center" vertical="center"/>
    </xf>
    <xf borderId="6" fillId="3" fontId="3" numFmtId="0" xfId="0" applyAlignment="1" applyBorder="1" applyFont="1">
      <alignment horizontal="center" readingOrder="0" vertical="center"/>
    </xf>
    <xf borderId="6" fillId="3" fontId="3" numFmtId="165" xfId="0" applyAlignment="1" applyBorder="1" applyFont="1" applyNumberFormat="1">
      <alignment horizontal="center" readingOrder="0" vertical="center"/>
    </xf>
    <xf borderId="6" fillId="4" fontId="12" numFmtId="0" xfId="0" applyAlignment="1" applyBorder="1" applyFont="1">
      <alignment readingOrder="0" vertical="center"/>
    </xf>
    <xf borderId="6" fillId="3" fontId="4" numFmtId="165" xfId="0" applyAlignment="1" applyBorder="1" applyFont="1" applyNumberFormat="1">
      <alignment readingOrder="0" vertical="center"/>
    </xf>
    <xf borderId="6" fillId="3" fontId="9" numFmtId="0" xfId="0" applyAlignment="1" applyBorder="1" applyFont="1">
      <alignment horizontal="left" readingOrder="0" vertical="center"/>
    </xf>
    <xf borderId="6" fillId="3" fontId="8" numFmtId="165" xfId="0" applyAlignment="1" applyBorder="1" applyFont="1" applyNumberFormat="1">
      <alignment readingOrder="0" vertical="center"/>
    </xf>
    <xf borderId="6" fillId="3" fontId="3" numFmtId="165" xfId="0" applyAlignment="1" applyBorder="1" applyFont="1" applyNumberFormat="1">
      <alignment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6" fillId="4" fontId="9" numFmtId="165" xfId="0" applyAlignment="1" applyBorder="1" applyFont="1" applyNumberFormat="1">
      <alignment horizontal="left" readingOrder="0" vertical="center"/>
    </xf>
    <xf borderId="6" fillId="3" fontId="3" numFmtId="0" xfId="0" applyAlignment="1" applyBorder="1" applyFont="1">
      <alignment horizontal="center" vertical="center"/>
    </xf>
    <xf borderId="6" fillId="4" fontId="9" numFmtId="165" xfId="0" applyAlignment="1" applyBorder="1" applyFont="1" applyNumberFormat="1">
      <alignment horizontal="right" vertical="center"/>
    </xf>
    <xf borderId="6" fillId="4" fontId="3" numFmtId="165" xfId="0" applyAlignment="1" applyBorder="1" applyFont="1" applyNumberFormat="1">
      <alignment vertical="center"/>
    </xf>
    <xf borderId="6" fillId="3" fontId="3" numFmtId="0" xfId="0" applyAlignment="1" applyBorder="1" applyFont="1">
      <alignment horizontal="right" readingOrder="0" vertical="center"/>
    </xf>
    <xf borderId="6" fillId="4" fontId="9" numFmtId="0" xfId="0" applyAlignment="1" applyBorder="1" applyFont="1">
      <alignment horizontal="center" vertical="center"/>
    </xf>
    <xf borderId="6" fillId="4" fontId="13" numFmtId="0" xfId="0" applyAlignment="1" applyBorder="1" applyFont="1">
      <alignment horizontal="center" vertical="center"/>
    </xf>
    <xf borderId="6" fillId="3" fontId="3" numFmtId="0" xfId="0" applyAlignment="1" applyBorder="1" applyFont="1">
      <alignment horizontal="left" readingOrder="0" vertical="center"/>
    </xf>
    <xf borderId="1" fillId="3" fontId="3" numFmtId="165" xfId="0" applyAlignment="1" applyBorder="1" applyFont="1" applyNumberFormat="1">
      <alignment readingOrder="0" shrinkToFit="0" vertical="center" wrapText="1"/>
    </xf>
    <xf borderId="7" fillId="3" fontId="3" numFmtId="0" xfId="0" applyAlignment="1" applyBorder="1" applyFont="1">
      <alignment horizontal="center" vertical="center"/>
    </xf>
    <xf borderId="6" fillId="4" fontId="9" numFmtId="165" xfId="0" applyAlignment="1" applyBorder="1" applyFont="1" applyNumberFormat="1">
      <alignment horizontal="center" readingOrder="0" vertical="center"/>
    </xf>
    <xf borderId="6" fillId="3" fontId="6" numFmtId="0" xfId="0" applyAlignment="1" applyBorder="1" applyFont="1">
      <alignment horizontal="center" readingOrder="0" vertical="center"/>
    </xf>
    <xf borderId="6" fillId="4" fontId="14" numFmtId="0" xfId="0" applyAlignment="1" applyBorder="1" applyFont="1">
      <alignment horizontal="left" readingOrder="0" vertical="center"/>
    </xf>
    <xf borderId="7" fillId="3" fontId="3" numFmtId="0" xfId="0" applyAlignment="1" applyBorder="1" applyFont="1">
      <alignment horizontal="center" readingOrder="0" shrinkToFit="0" vertical="center" wrapText="1"/>
    </xf>
    <xf borderId="6" fillId="0" fontId="15" numFmtId="0" xfId="0" applyAlignment="1" applyBorder="1" applyFont="1">
      <alignment horizontal="left" readingOrder="0" vertical="center"/>
    </xf>
    <xf borderId="6" fillId="4" fontId="3" numFmtId="165" xfId="0" applyAlignment="1" applyBorder="1" applyFont="1" applyNumberFormat="1">
      <alignment horizontal="center" readingOrder="0" vertical="center"/>
    </xf>
    <xf borderId="6" fillId="3" fontId="16" numFmtId="165" xfId="0" applyAlignment="1" applyBorder="1" applyFont="1" applyNumberFormat="1">
      <alignment readingOrder="0" vertical="center"/>
    </xf>
    <xf borderId="6" fillId="3" fontId="6" numFmtId="0" xfId="0" applyAlignment="1" applyBorder="1" applyFont="1">
      <alignment horizontal="left" readingOrder="0" vertical="center"/>
    </xf>
    <xf borderId="6" fillId="3" fontId="3" numFmtId="165" xfId="0" applyAlignment="1" applyBorder="1" applyFont="1" applyNumberFormat="1">
      <alignment readingOrder="0" vertical="center"/>
    </xf>
    <xf borderId="6" fillId="4" fontId="10" numFmtId="0" xfId="0" applyAlignment="1" applyBorder="1" applyFont="1">
      <alignment horizontal="left" readingOrder="0" vertical="center"/>
    </xf>
    <xf borderId="6" fillId="3" fontId="10" numFmtId="0" xfId="0" applyAlignment="1" applyBorder="1" applyFont="1">
      <alignment horizontal="left" readingOrder="0" vertical="center"/>
    </xf>
    <xf borderId="6" fillId="4" fontId="3" numFmtId="165" xfId="0" applyAlignment="1" applyBorder="1" applyFont="1" applyNumberFormat="1">
      <alignment horizontal="left" readingOrder="0" vertical="center"/>
    </xf>
    <xf borderId="6" fillId="0" fontId="17" numFmtId="0" xfId="0" applyAlignment="1" applyBorder="1" applyFont="1">
      <alignment horizontal="left" readingOrder="0" vertical="center"/>
    </xf>
    <xf borderId="6" fillId="4" fontId="17" numFmtId="165" xfId="0" applyAlignment="1" applyBorder="1" applyFont="1" applyNumberFormat="1">
      <alignment horizontal="left" readingOrder="0" vertical="center"/>
    </xf>
    <xf borderId="6" fillId="4" fontId="17" numFmtId="0" xfId="0" applyAlignment="1" applyBorder="1" applyFont="1">
      <alignment horizontal="right" readingOrder="0" vertical="center"/>
    </xf>
    <xf borderId="6" fillId="3" fontId="17" numFmtId="0" xfId="0" applyAlignment="1" applyBorder="1" applyFont="1">
      <alignment horizontal="left" readingOrder="0" vertical="center"/>
    </xf>
    <xf borderId="6" fillId="3" fontId="7" numFmtId="165" xfId="0" applyAlignment="1" applyBorder="1" applyFont="1" applyNumberFormat="1">
      <alignment horizontal="left" vertical="center"/>
    </xf>
    <xf borderId="6" fillId="3" fontId="17" numFmtId="165" xfId="0" applyAlignment="1" applyBorder="1" applyFont="1" applyNumberFormat="1">
      <alignment readingOrder="0" shrinkToFit="0" vertical="center" wrapText="1"/>
    </xf>
    <xf borderId="6" fillId="3" fontId="4" numFmtId="0" xfId="0" applyAlignment="1" applyBorder="1" applyFont="1">
      <alignment horizontal="left" readingOrder="0" vertical="center"/>
    </xf>
    <xf borderId="6" fillId="3" fontId="5" numFmtId="165" xfId="0" applyAlignment="1" applyBorder="1" applyFont="1" applyNumberFormat="1">
      <alignment horizontal="left" vertical="center"/>
    </xf>
    <xf borderId="6" fillId="3" fontId="18" numFmtId="0" xfId="0" applyAlignment="1" applyBorder="1" applyFont="1">
      <alignment vertical="center"/>
    </xf>
    <xf borderId="6" fillId="3" fontId="18" numFmtId="165" xfId="0" applyAlignment="1" applyBorder="1" applyFont="1" applyNumberFormat="1">
      <alignment vertical="center"/>
    </xf>
    <xf borderId="6" fillId="3" fontId="17" numFmtId="165" xfId="0" applyAlignment="1" applyBorder="1" applyFont="1" applyNumberFormat="1">
      <alignment horizontal="right" vertical="center"/>
    </xf>
    <xf borderId="0" fillId="3" fontId="18" numFmtId="0" xfId="0" applyAlignment="1" applyFont="1">
      <alignment vertical="bottom"/>
    </xf>
    <xf borderId="6" fillId="3" fontId="4" numFmtId="0" xfId="0" applyAlignment="1" applyBorder="1" applyFont="1">
      <alignment horizontal="center" readingOrder="0" vertical="center"/>
    </xf>
    <xf borderId="6" fillId="3" fontId="17" numFmtId="165" xfId="0" applyAlignment="1" applyBorder="1" applyFont="1" applyNumberFormat="1">
      <alignment readingOrder="0" vertical="center"/>
    </xf>
    <xf borderId="1" fillId="4" fontId="3" numFmtId="0" xfId="0" applyAlignment="1" applyBorder="1" applyFont="1">
      <alignment horizontal="center" vertical="center"/>
    </xf>
    <xf borderId="6" fillId="4" fontId="17" numFmtId="165" xfId="0" applyAlignment="1" applyBorder="1" applyFont="1" applyNumberFormat="1">
      <alignment horizontal="left" readingOrder="0" shrinkToFit="0" vertical="bottom" wrapText="1"/>
    </xf>
    <xf borderId="6" fillId="4" fontId="3" numFmtId="165" xfId="0" applyAlignment="1" applyBorder="1" applyFont="1" applyNumberFormat="1">
      <alignment readingOrder="0" vertical="center"/>
    </xf>
    <xf borderId="6" fillId="3" fontId="19" numFmtId="0" xfId="0" applyAlignment="1" applyBorder="1" applyFont="1">
      <alignment horizontal="left" readingOrder="0" vertical="center"/>
    </xf>
    <xf borderId="1" fillId="3" fontId="4" numFmtId="0" xfId="0" applyAlignment="1" applyBorder="1" applyFont="1">
      <alignment horizontal="left" readingOrder="0" vertical="center"/>
    </xf>
    <xf borderId="6" fillId="3" fontId="6" numFmtId="165" xfId="0" applyAlignment="1" applyBorder="1" applyFont="1" applyNumberFormat="1">
      <alignment readingOrder="0" vertical="center"/>
    </xf>
    <xf borderId="1" fillId="4" fontId="20" numFmtId="0" xfId="0" applyAlignment="1" applyBorder="1" applyFont="1">
      <alignment horizontal="left" readingOrder="0" vertical="center"/>
    </xf>
    <xf borderId="6" fillId="4" fontId="13" numFmtId="0" xfId="0" applyAlignment="1" applyBorder="1" applyFont="1">
      <alignment horizontal="center" readingOrder="0" vertical="center"/>
    </xf>
    <xf borderId="6" fillId="3" fontId="10" numFmtId="0" xfId="0" applyAlignment="1" applyBorder="1" applyFont="1">
      <alignment horizontal="center" readingOrder="0" vertical="center"/>
    </xf>
    <xf borderId="6" fillId="4" fontId="10" numFmtId="0" xfId="0" applyAlignment="1" applyBorder="1" applyFont="1">
      <alignment horizontal="center" readingOrder="0" vertical="center"/>
    </xf>
    <xf borderId="6" fillId="3" fontId="15" numFmtId="165" xfId="0" applyAlignment="1" applyBorder="1" applyFont="1" applyNumberFormat="1">
      <alignment readingOrder="0" vertical="center"/>
    </xf>
    <xf borderId="6" fillId="3" fontId="21" numFmtId="165" xfId="0" applyAlignment="1" applyBorder="1" applyFont="1" applyNumberFormat="1">
      <alignment readingOrder="0" vertical="center"/>
    </xf>
    <xf borderId="6" fillId="3" fontId="22" numFmtId="0" xfId="0" applyAlignment="1" applyBorder="1" applyFont="1">
      <alignment horizontal="left" readingOrder="0" vertical="center"/>
    </xf>
    <xf borderId="6" fillId="4" fontId="14" numFmtId="0" xfId="0" applyAlignment="1" applyBorder="1" applyFont="1">
      <alignment horizontal="center" readingOrder="0" vertical="center"/>
    </xf>
    <xf borderId="6" fillId="3" fontId="23" numFmtId="165" xfId="0" applyAlignment="1" applyBorder="1" applyFont="1" applyNumberFormat="1">
      <alignment readingOrder="0" vertical="center"/>
    </xf>
    <xf borderId="6" fillId="3" fontId="17" numFmtId="0" xfId="0" applyAlignment="1" applyBorder="1" applyFont="1">
      <alignment horizontal="center" readingOrder="0" vertical="center"/>
    </xf>
    <xf borderId="6" fillId="3" fontId="7" numFmtId="165" xfId="0" applyAlignment="1" applyBorder="1" applyFont="1" applyNumberFormat="1">
      <alignment readingOrder="0" vertical="center"/>
    </xf>
    <xf borderId="6" fillId="3" fontId="8" numFmtId="0" xfId="0" applyAlignment="1" applyBorder="1" applyFont="1">
      <alignment horizontal="center" readingOrder="0" vertical="center"/>
    </xf>
    <xf borderId="6" fillId="4" fontId="7" numFmtId="0" xfId="0" applyAlignment="1" applyBorder="1" applyFont="1">
      <alignment readingOrder="0" vertical="center"/>
    </xf>
    <xf borderId="0" fillId="0" fontId="5" numFmtId="0" xfId="0" applyFont="1"/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0" fillId="0" fontId="24" numFmtId="0" xfId="0" applyFont="1"/>
    <xf borderId="17" fillId="0" fontId="24" numFmtId="0" xfId="0" applyAlignment="1" applyBorder="1" applyFont="1">
      <alignment vertical="center"/>
    </xf>
    <xf borderId="17" fillId="0" fontId="2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0.0"/>
    <col customWidth="1" min="2" max="2" width="19.25"/>
    <col customWidth="1" min="3" max="3" width="5.63"/>
    <col customWidth="1" min="4" max="4" width="17.0"/>
    <col customWidth="1" min="5" max="5" width="12.38"/>
    <col customWidth="1" min="6" max="6" width="11.5"/>
    <col customWidth="1" min="7" max="7" width="10.88"/>
    <col customWidth="1" min="8" max="9" width="5.63"/>
    <col customWidth="1" hidden="1" min="10" max="10" width="5.63"/>
    <col customWidth="1" min="11" max="11" width="14.38"/>
    <col customWidth="1" min="12" max="12" width="16.88"/>
    <col customWidth="1" min="13" max="13" width="12.38"/>
    <col customWidth="1" min="14" max="14" width="13.88"/>
    <col customWidth="1" min="15" max="28" width="9.63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customHeight="1">
      <c r="A2" s="6" t="s">
        <v>1</v>
      </c>
      <c r="B2" s="2"/>
      <c r="C2" s="2"/>
      <c r="D2" s="3"/>
      <c r="E2" s="6" t="s">
        <v>2</v>
      </c>
      <c r="F2" s="2"/>
      <c r="G2" s="2"/>
      <c r="H2" s="2"/>
      <c r="I2" s="2"/>
      <c r="J2" s="2"/>
      <c r="K2" s="3"/>
      <c r="L2" s="6" t="s">
        <v>3</v>
      </c>
      <c r="M2" s="2"/>
      <c r="N2" s="3"/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15.75" customHeight="1">
      <c r="A3" s="9" t="s">
        <v>4</v>
      </c>
      <c r="B3" s="9" t="s">
        <v>5</v>
      </c>
      <c r="C3" s="9"/>
      <c r="D3" s="9" t="s">
        <v>6</v>
      </c>
      <c r="E3" s="9"/>
      <c r="F3" s="9" t="s">
        <v>7</v>
      </c>
      <c r="G3" s="9" t="s">
        <v>8</v>
      </c>
      <c r="H3" s="9" t="s">
        <v>9</v>
      </c>
      <c r="I3" s="9"/>
      <c r="J3" s="9"/>
      <c r="K3" s="9" t="s">
        <v>10</v>
      </c>
      <c r="L3" s="9" t="s">
        <v>11</v>
      </c>
      <c r="M3" s="9" t="s">
        <v>12</v>
      </c>
      <c r="N3" s="10" t="s">
        <v>13</v>
      </c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ht="18.75" customHeight="1">
      <c r="A4" s="13">
        <v>1228.0</v>
      </c>
      <c r="B4" s="14">
        <v>46088.0</v>
      </c>
      <c r="C4" s="15"/>
      <c r="D4" s="16" t="s">
        <v>14</v>
      </c>
      <c r="E4" s="17" t="s">
        <v>15</v>
      </c>
      <c r="F4" s="18" t="s">
        <v>16</v>
      </c>
      <c r="G4" s="19">
        <v>600.0</v>
      </c>
      <c r="H4" s="20">
        <v>27.0</v>
      </c>
      <c r="I4" s="21"/>
      <c r="J4" s="22"/>
      <c r="K4" s="23">
        <f t="shared" ref="K4:K10" si="1">G4*H4</f>
        <v>16200</v>
      </c>
      <c r="L4" s="24" t="s">
        <v>17</v>
      </c>
      <c r="M4" s="25">
        <v>73700.0</v>
      </c>
      <c r="N4" s="26">
        <f>K20-M20</f>
        <v>-309650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ht="18.75" customHeight="1">
      <c r="A5" s="28"/>
      <c r="B5" s="29"/>
      <c r="C5" s="30"/>
      <c r="D5" s="28"/>
      <c r="E5" s="28"/>
      <c r="F5" s="31" t="s">
        <v>18</v>
      </c>
      <c r="G5" s="19">
        <v>100.0</v>
      </c>
      <c r="H5" s="32">
        <v>3.0</v>
      </c>
      <c r="I5" s="33"/>
      <c r="J5" s="22"/>
      <c r="K5" s="23">
        <f t="shared" si="1"/>
        <v>300</v>
      </c>
      <c r="L5" s="24" t="s">
        <v>19</v>
      </c>
      <c r="M5" s="34">
        <v>43750.0</v>
      </c>
      <c r="N5" s="35" t="s">
        <v>20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ht="28.5" customHeight="1">
      <c r="A6" s="28"/>
      <c r="B6" s="29"/>
      <c r="C6" s="30"/>
      <c r="D6" s="28"/>
      <c r="E6" s="28"/>
      <c r="F6" s="36" t="s">
        <v>21</v>
      </c>
      <c r="G6" s="37">
        <v>600.0</v>
      </c>
      <c r="H6" s="20">
        <v>7.0</v>
      </c>
      <c r="I6" s="33"/>
      <c r="J6" s="38"/>
      <c r="K6" s="39">
        <f t="shared" si="1"/>
        <v>4200</v>
      </c>
      <c r="L6" s="24" t="s">
        <v>22</v>
      </c>
      <c r="M6" s="25">
        <v>39100.0</v>
      </c>
      <c r="N6" s="28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ht="18.75" customHeight="1">
      <c r="A7" s="28"/>
      <c r="B7" s="29"/>
      <c r="C7" s="30"/>
      <c r="D7" s="28"/>
      <c r="E7" s="28"/>
      <c r="F7" s="40"/>
      <c r="G7" s="41"/>
      <c r="H7" s="42"/>
      <c r="I7" s="43"/>
      <c r="J7" s="44"/>
      <c r="K7" s="45">
        <f t="shared" si="1"/>
        <v>0</v>
      </c>
      <c r="L7" s="46" t="s">
        <v>23</v>
      </c>
      <c r="M7" s="34">
        <v>20000.0</v>
      </c>
      <c r="N7" s="28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ht="30.0" customHeight="1">
      <c r="A8" s="28"/>
      <c r="B8" s="29"/>
      <c r="C8" s="30"/>
      <c r="D8" s="28"/>
      <c r="E8" s="28"/>
      <c r="F8" s="47"/>
      <c r="G8" s="41"/>
      <c r="H8" s="43"/>
      <c r="I8" s="48"/>
      <c r="J8" s="38"/>
      <c r="K8" s="39">
        <f t="shared" si="1"/>
        <v>0</v>
      </c>
      <c r="L8" s="49" t="s">
        <v>24</v>
      </c>
      <c r="M8" s="34">
        <v>28500.0</v>
      </c>
      <c r="N8" s="2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ht="18.75" customHeight="1">
      <c r="A9" s="28"/>
      <c r="B9" s="29"/>
      <c r="C9" s="30"/>
      <c r="D9" s="28"/>
      <c r="E9" s="28"/>
      <c r="F9" s="50"/>
      <c r="G9" s="51"/>
      <c r="H9" s="43"/>
      <c r="I9" s="48"/>
      <c r="J9" s="38"/>
      <c r="K9" s="39">
        <f t="shared" si="1"/>
        <v>0</v>
      </c>
      <c r="L9" s="46" t="s">
        <v>25</v>
      </c>
      <c r="M9" s="25">
        <v>8000.0</v>
      </c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ht="18.75" customHeight="1">
      <c r="A10" s="28"/>
      <c r="B10" s="29"/>
      <c r="C10" s="30"/>
      <c r="D10" s="28"/>
      <c r="E10" s="28"/>
      <c r="F10" s="52"/>
      <c r="G10" s="53"/>
      <c r="H10" s="54"/>
      <c r="I10" s="48"/>
      <c r="J10" s="38"/>
      <c r="K10" s="45">
        <f t="shared" si="1"/>
        <v>0</v>
      </c>
      <c r="L10" s="24" t="s">
        <v>26</v>
      </c>
      <c r="M10" s="34">
        <v>105000.0</v>
      </c>
      <c r="N10" s="2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ht="18.75" customHeight="1">
      <c r="A11" s="28"/>
      <c r="B11" s="29"/>
      <c r="C11" s="30"/>
      <c r="D11" s="28"/>
      <c r="E11" s="28"/>
      <c r="F11" s="52"/>
      <c r="G11" s="53"/>
      <c r="H11" s="48"/>
      <c r="I11" s="43"/>
      <c r="J11" s="38"/>
      <c r="K11" s="39"/>
      <c r="L11" s="55" t="s">
        <v>27</v>
      </c>
      <c r="M11" s="34">
        <v>4980.0</v>
      </c>
      <c r="N11" s="28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ht="18.75" customHeight="1">
      <c r="A12" s="28"/>
      <c r="B12" s="29"/>
      <c r="C12" s="30"/>
      <c r="D12" s="28"/>
      <c r="E12" s="28"/>
      <c r="F12" s="56"/>
      <c r="G12" s="38"/>
      <c r="H12" s="48"/>
      <c r="I12" s="43"/>
      <c r="J12" s="38"/>
      <c r="K12" s="39"/>
      <c r="L12" s="57" t="s">
        <v>28</v>
      </c>
      <c r="M12" s="34">
        <v>380.0</v>
      </c>
      <c r="N12" s="28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ht="18.75" customHeight="1">
      <c r="A13" s="28"/>
      <c r="B13" s="29"/>
      <c r="C13" s="30"/>
      <c r="D13" s="28"/>
      <c r="E13" s="28"/>
      <c r="F13" s="56"/>
      <c r="G13" s="38"/>
      <c r="H13" s="48"/>
      <c r="I13" s="43"/>
      <c r="J13" s="38"/>
      <c r="K13" s="39"/>
      <c r="L13" s="57" t="s">
        <v>29</v>
      </c>
      <c r="M13" s="34">
        <v>380.0</v>
      </c>
      <c r="N13" s="28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ht="18.75" customHeight="1">
      <c r="A14" s="28"/>
      <c r="B14" s="29"/>
      <c r="C14" s="30"/>
      <c r="D14" s="28"/>
      <c r="E14" s="28"/>
      <c r="F14" s="56"/>
      <c r="G14" s="38"/>
      <c r="H14" s="48"/>
      <c r="I14" s="43"/>
      <c r="J14" s="38"/>
      <c r="K14" s="39"/>
      <c r="L14" s="57" t="s">
        <v>30</v>
      </c>
      <c r="M14" s="34">
        <v>960.0</v>
      </c>
      <c r="N14" s="28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ht="18.75" customHeight="1">
      <c r="A15" s="28"/>
      <c r="B15" s="29"/>
      <c r="C15" s="30"/>
      <c r="D15" s="28"/>
      <c r="E15" s="28"/>
      <c r="F15" s="56"/>
      <c r="G15" s="38"/>
      <c r="H15" s="48"/>
      <c r="I15" s="43"/>
      <c r="J15" s="38"/>
      <c r="K15" s="39"/>
      <c r="L15" s="55" t="s">
        <v>31</v>
      </c>
      <c r="M15" s="34">
        <v>5000.0</v>
      </c>
      <c r="N15" s="28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ht="18.75" customHeight="1">
      <c r="A16" s="28"/>
      <c r="B16" s="29"/>
      <c r="C16" s="30"/>
      <c r="D16" s="28"/>
      <c r="E16" s="28"/>
      <c r="F16" s="56"/>
      <c r="G16" s="38"/>
      <c r="H16" s="48"/>
      <c r="I16" s="43"/>
      <c r="J16" s="38"/>
      <c r="K16" s="39"/>
      <c r="L16" s="55" t="s">
        <v>32</v>
      </c>
      <c r="M16" s="34">
        <v>600.0</v>
      </c>
      <c r="N16" s="28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ht="18.75" customHeight="1">
      <c r="A17" s="28"/>
      <c r="B17" s="29"/>
      <c r="C17" s="30"/>
      <c r="D17" s="28"/>
      <c r="E17" s="28"/>
      <c r="F17" s="56"/>
      <c r="G17" s="38"/>
      <c r="H17" s="48"/>
      <c r="I17" s="43"/>
      <c r="J17" s="38"/>
      <c r="K17" s="39"/>
      <c r="L17" s="58"/>
      <c r="M17" s="34"/>
      <c r="N17" s="28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ht="18.75" customHeight="1">
      <c r="A18" s="28"/>
      <c r="B18" s="29"/>
      <c r="C18" s="30"/>
      <c r="D18" s="28"/>
      <c r="E18" s="28"/>
      <c r="F18" s="56"/>
      <c r="G18" s="38"/>
      <c r="H18" s="48"/>
      <c r="I18" s="43"/>
      <c r="J18" s="38"/>
      <c r="K18" s="39"/>
      <c r="L18" s="58"/>
      <c r="M18" s="34"/>
      <c r="N18" s="28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ht="18.75" customHeight="1">
      <c r="A19" s="28"/>
      <c r="B19" s="29"/>
      <c r="C19" s="30"/>
      <c r="D19" s="28"/>
      <c r="E19" s="59"/>
      <c r="F19" s="56"/>
      <c r="G19" s="38"/>
      <c r="H19" s="48"/>
      <c r="I19" s="43"/>
      <c r="J19" s="38"/>
      <c r="K19" s="39"/>
      <c r="L19" s="58"/>
      <c r="M19" s="34"/>
      <c r="N19" s="59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ht="18.75" customHeight="1">
      <c r="A20" s="59"/>
      <c r="B20" s="60"/>
      <c r="C20" s="61"/>
      <c r="D20" s="59"/>
      <c r="E20" s="62">
        <f>N32</f>
        <v>379992</v>
      </c>
      <c r="F20" s="63"/>
      <c r="G20" s="9"/>
      <c r="H20" s="9"/>
      <c r="I20" s="43"/>
      <c r="J20" s="44"/>
      <c r="K20" s="64">
        <f>SUM(K4:K19)</f>
        <v>20700</v>
      </c>
      <c r="L20" s="65" t="s">
        <v>33</v>
      </c>
      <c r="M20" s="64">
        <f>SUM(M4:M19)</f>
        <v>330350</v>
      </c>
      <c r="N20" s="26">
        <f>N32+K20-M20</f>
        <v>70342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ht="18.75" customHeight="1">
      <c r="A21" s="13">
        <v>1227.0</v>
      </c>
      <c r="B21" s="14">
        <v>46081.0</v>
      </c>
      <c r="C21" s="15"/>
      <c r="D21" s="16" t="s">
        <v>34</v>
      </c>
      <c r="E21" s="17" t="s">
        <v>15</v>
      </c>
      <c r="F21" s="40" t="s">
        <v>35</v>
      </c>
      <c r="G21" s="51">
        <v>200.0</v>
      </c>
      <c r="H21" s="66">
        <v>99.0</v>
      </c>
      <c r="I21" s="48"/>
      <c r="J21" s="38"/>
      <c r="K21" s="39">
        <f t="shared" ref="K21:K27" si="2">G21*H21</f>
        <v>19800</v>
      </c>
      <c r="L21" s="51" t="s">
        <v>36</v>
      </c>
      <c r="M21" s="39">
        <v>0.0</v>
      </c>
      <c r="N21" s="26">
        <f>K32-M32</f>
        <v>13710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ht="18.75" customHeight="1">
      <c r="A22" s="28"/>
      <c r="B22" s="29"/>
      <c r="C22" s="30"/>
      <c r="D22" s="28"/>
      <c r="E22" s="28"/>
      <c r="F22" s="67" t="s">
        <v>37</v>
      </c>
      <c r="G22" s="41">
        <v>150.0</v>
      </c>
      <c r="H22" s="42">
        <v>49.0</v>
      </c>
      <c r="I22" s="43"/>
      <c r="J22" s="44"/>
      <c r="K22" s="45">
        <f t="shared" si="2"/>
        <v>7350</v>
      </c>
      <c r="L22" s="41" t="s">
        <v>38</v>
      </c>
      <c r="M22" s="45">
        <v>200.0</v>
      </c>
      <c r="N22" s="35" t="s">
        <v>20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ht="18.75" customHeight="1">
      <c r="A23" s="28"/>
      <c r="B23" s="29"/>
      <c r="C23" s="30"/>
      <c r="D23" s="28"/>
      <c r="E23" s="28"/>
      <c r="F23" s="68" t="s">
        <v>39</v>
      </c>
      <c r="G23" s="51">
        <v>150.0</v>
      </c>
      <c r="H23" s="42"/>
      <c r="I23" s="48"/>
      <c r="J23" s="38"/>
      <c r="K23" s="39">
        <f t="shared" si="2"/>
        <v>0</v>
      </c>
      <c r="L23" s="58" t="s">
        <v>40</v>
      </c>
      <c r="M23" s="25">
        <v>300.0</v>
      </c>
      <c r="N23" s="28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ht="18.75" customHeight="1">
      <c r="A24" s="28"/>
      <c r="B24" s="29"/>
      <c r="C24" s="30"/>
      <c r="D24" s="28"/>
      <c r="E24" s="28"/>
      <c r="F24" s="40" t="s">
        <v>41</v>
      </c>
      <c r="G24" s="41">
        <v>100.0</v>
      </c>
      <c r="H24" s="42">
        <v>5.0</v>
      </c>
      <c r="I24" s="43"/>
      <c r="J24" s="44"/>
      <c r="K24" s="45">
        <f t="shared" si="2"/>
        <v>500</v>
      </c>
      <c r="L24" s="65" t="s">
        <v>42</v>
      </c>
      <c r="M24" s="34">
        <v>4000.0</v>
      </c>
      <c r="N24" s="28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ht="18.75" customHeight="1">
      <c r="A25" s="28"/>
      <c r="B25" s="29"/>
      <c r="C25" s="30"/>
      <c r="D25" s="28"/>
      <c r="E25" s="28"/>
      <c r="F25" s="47" t="s">
        <v>43</v>
      </c>
      <c r="G25" s="41">
        <v>200.0</v>
      </c>
      <c r="H25" s="43"/>
      <c r="I25" s="48"/>
      <c r="J25" s="38"/>
      <c r="K25" s="39">
        <f t="shared" si="2"/>
        <v>0</v>
      </c>
      <c r="L25" s="58" t="s">
        <v>44</v>
      </c>
      <c r="M25" s="34">
        <v>7100.0</v>
      </c>
      <c r="N25" s="28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ht="18.75" customHeight="1">
      <c r="A26" s="28"/>
      <c r="B26" s="29"/>
      <c r="C26" s="30"/>
      <c r="D26" s="28"/>
      <c r="E26" s="28"/>
      <c r="F26" s="50" t="s">
        <v>45</v>
      </c>
      <c r="G26" s="51">
        <v>150.0</v>
      </c>
      <c r="H26" s="43"/>
      <c r="I26" s="48"/>
      <c r="J26" s="38"/>
      <c r="K26" s="39">
        <f t="shared" si="2"/>
        <v>0</v>
      </c>
      <c r="L26" s="65" t="s">
        <v>46</v>
      </c>
      <c r="M26" s="25">
        <f>440+220+630+600+60+50+160+180</f>
        <v>2340</v>
      </c>
      <c r="N26" s="28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ht="18.75" customHeight="1">
      <c r="A27" s="28"/>
      <c r="B27" s="29"/>
      <c r="C27" s="30"/>
      <c r="D27" s="28"/>
      <c r="E27" s="28"/>
      <c r="F27" s="52" t="s">
        <v>47</v>
      </c>
      <c r="G27" s="53"/>
      <c r="H27" s="54"/>
      <c r="I27" s="48"/>
      <c r="J27" s="38"/>
      <c r="K27" s="45">
        <f t="shared" si="2"/>
        <v>0</v>
      </c>
      <c r="L27" s="58" t="s">
        <v>48</v>
      </c>
      <c r="M27" s="34"/>
      <c r="N27" s="28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ht="18.75" customHeight="1">
      <c r="A28" s="28"/>
      <c r="B28" s="29"/>
      <c r="C28" s="30"/>
      <c r="D28" s="28"/>
      <c r="E28" s="28"/>
      <c r="F28" s="52" t="s">
        <v>49</v>
      </c>
      <c r="G28" s="53"/>
      <c r="H28" s="48"/>
      <c r="I28" s="43"/>
      <c r="J28" s="38"/>
      <c r="K28" s="39"/>
      <c r="L28" s="58"/>
      <c r="M28" s="38"/>
      <c r="N28" s="28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ht="18.75" customHeight="1">
      <c r="A29" s="28"/>
      <c r="B29" s="29"/>
      <c r="C29" s="30"/>
      <c r="D29" s="28"/>
      <c r="E29" s="28"/>
      <c r="F29" s="56"/>
      <c r="G29" s="38"/>
      <c r="H29" s="48"/>
      <c r="I29" s="43"/>
      <c r="J29" s="38"/>
      <c r="K29" s="39"/>
      <c r="L29" s="58"/>
      <c r="M29" s="38"/>
      <c r="N29" s="28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ht="18.75" customHeight="1">
      <c r="A30" s="28"/>
      <c r="B30" s="29"/>
      <c r="C30" s="30"/>
      <c r="D30" s="28"/>
      <c r="E30" s="28"/>
      <c r="F30" s="56"/>
      <c r="G30" s="38"/>
      <c r="H30" s="48"/>
      <c r="I30" s="43"/>
      <c r="J30" s="38"/>
      <c r="K30" s="39"/>
      <c r="L30" s="58"/>
      <c r="M30" s="38"/>
      <c r="N30" s="28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ht="18.75" customHeight="1">
      <c r="A31" s="28"/>
      <c r="B31" s="29"/>
      <c r="C31" s="30"/>
      <c r="D31" s="28"/>
      <c r="E31" s="59"/>
      <c r="F31" s="56"/>
      <c r="G31" s="38"/>
      <c r="H31" s="48"/>
      <c r="I31" s="43"/>
      <c r="J31" s="38"/>
      <c r="K31" s="39"/>
      <c r="L31" s="58"/>
      <c r="M31" s="38"/>
      <c r="N31" s="59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ht="18.75" customHeight="1">
      <c r="A32" s="28"/>
      <c r="B32" s="29"/>
      <c r="C32" s="30"/>
      <c r="D32" s="28"/>
      <c r="E32" s="62">
        <f>N45</f>
        <v>366282</v>
      </c>
      <c r="F32" s="63"/>
      <c r="G32" s="9"/>
      <c r="H32" s="9"/>
      <c r="I32" s="43"/>
      <c r="J32" s="44"/>
      <c r="K32" s="64">
        <f>SUM(K21:K31)</f>
        <v>27650</v>
      </c>
      <c r="L32" s="65" t="s">
        <v>33</v>
      </c>
      <c r="M32" s="64">
        <f>SUM(M21:M31)</f>
        <v>13940</v>
      </c>
      <c r="N32" s="26">
        <f>N45+K32-M32</f>
        <v>379992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ht="80.25" customHeight="1">
      <c r="A33" s="59"/>
      <c r="B33" s="60"/>
      <c r="C33" s="61"/>
      <c r="D33" s="59"/>
      <c r="E33" s="69" t="s">
        <v>50</v>
      </c>
      <c r="F33" s="70" t="s">
        <v>51</v>
      </c>
      <c r="G33" s="2"/>
      <c r="H33" s="2"/>
      <c r="I33" s="2"/>
      <c r="J33" s="2"/>
      <c r="K33" s="2"/>
      <c r="L33" s="2"/>
      <c r="M33" s="2"/>
      <c r="N33" s="3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ht="18.75" customHeight="1">
      <c r="A34" s="13">
        <v>1226.0</v>
      </c>
      <c r="B34" s="14">
        <v>46074.0</v>
      </c>
      <c r="C34" s="15"/>
      <c r="D34" s="16" t="s">
        <v>52</v>
      </c>
      <c r="E34" s="17" t="s">
        <v>15</v>
      </c>
      <c r="F34" s="40" t="s">
        <v>35</v>
      </c>
      <c r="G34" s="51">
        <v>200.0</v>
      </c>
      <c r="H34" s="66">
        <v>85.0</v>
      </c>
      <c r="I34" s="48"/>
      <c r="J34" s="38"/>
      <c r="K34" s="39">
        <f t="shared" ref="K34:K40" si="3">G34*H34</f>
        <v>17000</v>
      </c>
      <c r="L34" s="51" t="s">
        <v>36</v>
      </c>
      <c r="M34" s="39">
        <v>0.0</v>
      </c>
      <c r="N34" s="26">
        <f>K45-M45</f>
        <v>10505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ht="18.75" customHeight="1">
      <c r="A35" s="28"/>
      <c r="B35" s="29"/>
      <c r="C35" s="30"/>
      <c r="D35" s="28"/>
      <c r="E35" s="28"/>
      <c r="F35" s="67" t="s">
        <v>37</v>
      </c>
      <c r="G35" s="41">
        <v>150.0</v>
      </c>
      <c r="H35" s="42">
        <v>56.0</v>
      </c>
      <c r="I35" s="43"/>
      <c r="J35" s="44"/>
      <c r="K35" s="45">
        <f t="shared" si="3"/>
        <v>8400</v>
      </c>
      <c r="L35" s="41" t="s">
        <v>38</v>
      </c>
      <c r="M35" s="45">
        <v>200.0</v>
      </c>
      <c r="N35" s="35" t="s">
        <v>20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ht="18.75" customHeight="1">
      <c r="A36" s="28"/>
      <c r="B36" s="29"/>
      <c r="C36" s="30"/>
      <c r="D36" s="28"/>
      <c r="E36" s="28"/>
      <c r="F36" s="68" t="s">
        <v>39</v>
      </c>
      <c r="G36" s="51">
        <v>150.0</v>
      </c>
      <c r="H36" s="42"/>
      <c r="I36" s="48"/>
      <c r="J36" s="38"/>
      <c r="K36" s="39">
        <f t="shared" si="3"/>
        <v>0</v>
      </c>
      <c r="L36" s="58" t="s">
        <v>40</v>
      </c>
      <c r="M36" s="25">
        <v>350.0</v>
      </c>
      <c r="N36" s="28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ht="18.75" customHeight="1">
      <c r="A37" s="28"/>
      <c r="B37" s="29"/>
      <c r="C37" s="30"/>
      <c r="D37" s="28"/>
      <c r="E37" s="28"/>
      <c r="F37" s="40" t="s">
        <v>41</v>
      </c>
      <c r="G37" s="41">
        <v>100.0</v>
      </c>
      <c r="H37" s="42">
        <v>1.0</v>
      </c>
      <c r="I37" s="43"/>
      <c r="J37" s="44"/>
      <c r="K37" s="45">
        <f t="shared" si="3"/>
        <v>100</v>
      </c>
      <c r="L37" s="65" t="s">
        <v>42</v>
      </c>
      <c r="M37" s="34">
        <v>4000.0</v>
      </c>
      <c r="N37" s="28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ht="18.75" customHeight="1">
      <c r="A38" s="28"/>
      <c r="B38" s="29"/>
      <c r="C38" s="30"/>
      <c r="D38" s="28"/>
      <c r="E38" s="28"/>
      <c r="F38" s="47" t="s">
        <v>43</v>
      </c>
      <c r="G38" s="41">
        <v>200.0</v>
      </c>
      <c r="H38" s="43"/>
      <c r="I38" s="48"/>
      <c r="J38" s="38"/>
      <c r="K38" s="39">
        <f t="shared" si="3"/>
        <v>0</v>
      </c>
      <c r="L38" s="58" t="s">
        <v>44</v>
      </c>
      <c r="M38" s="34">
        <v>6930.0</v>
      </c>
      <c r="N38" s="28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ht="18.75" customHeight="1">
      <c r="A39" s="28"/>
      <c r="B39" s="29"/>
      <c r="C39" s="30"/>
      <c r="D39" s="28"/>
      <c r="E39" s="28"/>
      <c r="F39" s="50" t="s">
        <v>45</v>
      </c>
      <c r="G39" s="51">
        <v>150.0</v>
      </c>
      <c r="H39" s="43"/>
      <c r="I39" s="48"/>
      <c r="J39" s="38"/>
      <c r="K39" s="39">
        <f t="shared" si="3"/>
        <v>0</v>
      </c>
      <c r="L39" s="65" t="s">
        <v>46</v>
      </c>
      <c r="M39" s="25">
        <f>880+110+360+600+60+50+160+95+1200</f>
        <v>3515</v>
      </c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ht="18.75" customHeight="1">
      <c r="A40" s="28"/>
      <c r="B40" s="29"/>
      <c r="C40" s="30"/>
      <c r="D40" s="28"/>
      <c r="E40" s="28"/>
      <c r="F40" s="52" t="s">
        <v>47</v>
      </c>
      <c r="G40" s="53"/>
      <c r="H40" s="54"/>
      <c r="I40" s="48"/>
      <c r="J40" s="38"/>
      <c r="K40" s="45">
        <f t="shared" si="3"/>
        <v>0</v>
      </c>
      <c r="L40" s="58" t="s">
        <v>48</v>
      </c>
      <c r="M40" s="34"/>
      <c r="N40" s="28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ht="18.75" customHeight="1">
      <c r="A41" s="28"/>
      <c r="B41" s="29"/>
      <c r="C41" s="30"/>
      <c r="D41" s="28"/>
      <c r="E41" s="28"/>
      <c r="F41" s="52" t="s">
        <v>49</v>
      </c>
      <c r="G41" s="53"/>
      <c r="H41" s="48"/>
      <c r="I41" s="43"/>
      <c r="J41" s="38"/>
      <c r="K41" s="39"/>
      <c r="L41" s="58"/>
      <c r="M41" s="38"/>
      <c r="N41" s="28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ht="18.75" customHeight="1">
      <c r="A42" s="28"/>
      <c r="B42" s="29"/>
      <c r="C42" s="30"/>
      <c r="D42" s="28"/>
      <c r="E42" s="28"/>
      <c r="F42" s="56"/>
      <c r="G42" s="38"/>
      <c r="H42" s="48"/>
      <c r="I42" s="43"/>
      <c r="J42" s="38"/>
      <c r="K42" s="39"/>
      <c r="L42" s="58"/>
      <c r="M42" s="38"/>
      <c r="N42" s="28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ht="18.75" customHeight="1">
      <c r="A43" s="28"/>
      <c r="B43" s="29"/>
      <c r="C43" s="30"/>
      <c r="D43" s="28"/>
      <c r="E43" s="28"/>
      <c r="F43" s="56"/>
      <c r="G43" s="38"/>
      <c r="H43" s="48"/>
      <c r="I43" s="43"/>
      <c r="J43" s="38"/>
      <c r="K43" s="39"/>
      <c r="L43" s="58"/>
      <c r="M43" s="38"/>
      <c r="N43" s="28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ht="18.75" customHeight="1">
      <c r="A44" s="28"/>
      <c r="B44" s="29"/>
      <c r="C44" s="30"/>
      <c r="D44" s="28"/>
      <c r="E44" s="59"/>
      <c r="F44" s="56"/>
      <c r="G44" s="38"/>
      <c r="H44" s="48"/>
      <c r="I44" s="43"/>
      <c r="J44" s="38"/>
      <c r="K44" s="39"/>
      <c r="L44" s="58"/>
      <c r="M44" s="38"/>
      <c r="N44" s="59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ht="18.75" customHeight="1">
      <c r="A45" s="28"/>
      <c r="B45" s="29"/>
      <c r="C45" s="30"/>
      <c r="D45" s="28"/>
      <c r="E45" s="62">
        <f>N58</f>
        <v>355777</v>
      </c>
      <c r="F45" s="63"/>
      <c r="G45" s="9"/>
      <c r="H45" s="9"/>
      <c r="I45" s="43"/>
      <c r="J45" s="44"/>
      <c r="K45" s="64">
        <f>SUM(K34:K44)</f>
        <v>25500</v>
      </c>
      <c r="L45" s="65" t="s">
        <v>33</v>
      </c>
      <c r="M45" s="64">
        <f>SUM(M34:M44)</f>
        <v>14995</v>
      </c>
      <c r="N45" s="26">
        <f>N58+K45-M45</f>
        <v>366282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ht="66.0" customHeight="1">
      <c r="A46" s="59"/>
      <c r="B46" s="60"/>
      <c r="C46" s="61"/>
      <c r="D46" s="59"/>
      <c r="E46" s="69" t="s">
        <v>50</v>
      </c>
      <c r="F46" s="70" t="s">
        <v>53</v>
      </c>
      <c r="G46" s="2"/>
      <c r="H46" s="2"/>
      <c r="I46" s="2"/>
      <c r="J46" s="2"/>
      <c r="K46" s="2"/>
      <c r="L46" s="2"/>
      <c r="M46" s="2"/>
      <c r="N46" s="3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ht="18.75" customHeight="1">
      <c r="A47" s="13">
        <v>1225.0</v>
      </c>
      <c r="B47" s="14">
        <v>46067.0</v>
      </c>
      <c r="C47" s="15"/>
      <c r="D47" s="16" t="s">
        <v>54</v>
      </c>
      <c r="E47" s="17" t="s">
        <v>15</v>
      </c>
      <c r="F47" s="40" t="s">
        <v>35</v>
      </c>
      <c r="G47" s="51">
        <v>200.0</v>
      </c>
      <c r="H47" s="66">
        <v>75.0</v>
      </c>
      <c r="I47" s="48"/>
      <c r="J47" s="38"/>
      <c r="K47" s="39">
        <f t="shared" ref="K47:K53" si="4">G47*H47</f>
        <v>15000</v>
      </c>
      <c r="L47" s="51" t="s">
        <v>36</v>
      </c>
      <c r="M47" s="39">
        <v>0.0</v>
      </c>
      <c r="N47" s="26">
        <f>K58-M58</f>
        <v>4470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ht="18.75" customHeight="1">
      <c r="A48" s="28"/>
      <c r="B48" s="29"/>
      <c r="C48" s="30"/>
      <c r="D48" s="28"/>
      <c r="E48" s="28"/>
      <c r="F48" s="67" t="s">
        <v>37</v>
      </c>
      <c r="G48" s="41">
        <v>150.0</v>
      </c>
      <c r="H48" s="42">
        <v>49.0</v>
      </c>
      <c r="I48" s="43"/>
      <c r="J48" s="44"/>
      <c r="K48" s="45">
        <f t="shared" si="4"/>
        <v>7350</v>
      </c>
      <c r="L48" s="41" t="s">
        <v>38</v>
      </c>
      <c r="M48" s="45">
        <v>200.0</v>
      </c>
      <c r="N48" s="35" t="s">
        <v>20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ht="18.75" customHeight="1">
      <c r="A49" s="28"/>
      <c r="B49" s="29"/>
      <c r="C49" s="30"/>
      <c r="D49" s="28"/>
      <c r="E49" s="28"/>
      <c r="F49" s="68" t="s">
        <v>39</v>
      </c>
      <c r="G49" s="51">
        <v>150.0</v>
      </c>
      <c r="H49" s="42"/>
      <c r="I49" s="48"/>
      <c r="J49" s="38"/>
      <c r="K49" s="39">
        <f t="shared" si="4"/>
        <v>0</v>
      </c>
      <c r="L49" s="58" t="s">
        <v>40</v>
      </c>
      <c r="M49" s="25">
        <v>350.0</v>
      </c>
      <c r="N49" s="28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ht="18.75" customHeight="1">
      <c r="A50" s="28"/>
      <c r="B50" s="29"/>
      <c r="C50" s="30"/>
      <c r="D50" s="28"/>
      <c r="E50" s="28"/>
      <c r="F50" s="40" t="s">
        <v>41</v>
      </c>
      <c r="G50" s="41">
        <v>100.0</v>
      </c>
      <c r="H50" s="42">
        <v>1.0</v>
      </c>
      <c r="I50" s="43"/>
      <c r="J50" s="44"/>
      <c r="K50" s="45">
        <f t="shared" si="4"/>
        <v>100</v>
      </c>
      <c r="L50" s="65" t="s">
        <v>42</v>
      </c>
      <c r="M50" s="34">
        <v>3500.0</v>
      </c>
      <c r="N50" s="28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ht="18.75" customHeight="1">
      <c r="A51" s="28"/>
      <c r="B51" s="29"/>
      <c r="C51" s="30"/>
      <c r="D51" s="28"/>
      <c r="E51" s="28"/>
      <c r="F51" s="47" t="s">
        <v>43</v>
      </c>
      <c r="G51" s="41">
        <v>200.0</v>
      </c>
      <c r="H51" s="43"/>
      <c r="I51" s="48"/>
      <c r="J51" s="38"/>
      <c r="K51" s="39">
        <f t="shared" si="4"/>
        <v>0</v>
      </c>
      <c r="L51" s="58" t="s">
        <v>44</v>
      </c>
      <c r="M51" s="34">
        <v>7400.0</v>
      </c>
      <c r="N51" s="28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ht="18.75" customHeight="1">
      <c r="A52" s="28"/>
      <c r="B52" s="29"/>
      <c r="C52" s="30"/>
      <c r="D52" s="28"/>
      <c r="E52" s="28"/>
      <c r="F52" s="50" t="s">
        <v>45</v>
      </c>
      <c r="G52" s="51">
        <v>150.0</v>
      </c>
      <c r="H52" s="43"/>
      <c r="I52" s="48"/>
      <c r="J52" s="38"/>
      <c r="K52" s="39">
        <f t="shared" si="4"/>
        <v>0</v>
      </c>
      <c r="L52" s="65" t="s">
        <v>46</v>
      </c>
      <c r="M52" s="25">
        <f>770+220+450+600+60+50+180</f>
        <v>2330</v>
      </c>
      <c r="N52" s="28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ht="18.75" customHeight="1">
      <c r="A53" s="28"/>
      <c r="B53" s="29"/>
      <c r="C53" s="30"/>
      <c r="D53" s="28"/>
      <c r="E53" s="28"/>
      <c r="F53" s="52" t="s">
        <v>47</v>
      </c>
      <c r="G53" s="53"/>
      <c r="H53" s="54"/>
      <c r="I53" s="48"/>
      <c r="J53" s="38"/>
      <c r="K53" s="45">
        <f t="shared" si="4"/>
        <v>0</v>
      </c>
      <c r="L53" s="58" t="s">
        <v>48</v>
      </c>
      <c r="M53" s="34">
        <f>1200+3000</f>
        <v>4200</v>
      </c>
      <c r="N53" s="28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ht="18.75" customHeight="1">
      <c r="A54" s="28"/>
      <c r="B54" s="29"/>
      <c r="C54" s="30"/>
      <c r="D54" s="28"/>
      <c r="E54" s="28"/>
      <c r="F54" s="52" t="s">
        <v>49</v>
      </c>
      <c r="G54" s="53"/>
      <c r="H54" s="48"/>
      <c r="I54" s="43"/>
      <c r="J54" s="38"/>
      <c r="K54" s="39"/>
      <c r="L54" s="58"/>
      <c r="M54" s="38"/>
      <c r="N54" s="28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ht="18.75" customHeight="1">
      <c r="A55" s="28"/>
      <c r="B55" s="29"/>
      <c r="C55" s="30"/>
      <c r="D55" s="28"/>
      <c r="E55" s="28"/>
      <c r="F55" s="56"/>
      <c r="G55" s="38"/>
      <c r="H55" s="48"/>
      <c r="I55" s="43"/>
      <c r="J55" s="38"/>
      <c r="K55" s="39"/>
      <c r="L55" s="58"/>
      <c r="M55" s="38"/>
      <c r="N55" s="28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ht="18.75" customHeight="1">
      <c r="A56" s="28"/>
      <c r="B56" s="29"/>
      <c r="C56" s="30"/>
      <c r="D56" s="28"/>
      <c r="E56" s="28"/>
      <c r="F56" s="56"/>
      <c r="G56" s="38"/>
      <c r="H56" s="48"/>
      <c r="I56" s="43"/>
      <c r="J56" s="38"/>
      <c r="K56" s="39"/>
      <c r="L56" s="58"/>
      <c r="M56" s="38"/>
      <c r="N56" s="2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ht="18.75" customHeight="1">
      <c r="A57" s="28"/>
      <c r="B57" s="29"/>
      <c r="C57" s="30"/>
      <c r="D57" s="28"/>
      <c r="E57" s="59"/>
      <c r="F57" s="56"/>
      <c r="G57" s="38"/>
      <c r="H57" s="48"/>
      <c r="I57" s="43"/>
      <c r="J57" s="38"/>
      <c r="K57" s="39"/>
      <c r="L57" s="58"/>
      <c r="M57" s="38"/>
      <c r="N57" s="59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ht="18.75" customHeight="1">
      <c r="A58" s="28"/>
      <c r="B58" s="29"/>
      <c r="C58" s="30"/>
      <c r="D58" s="28"/>
      <c r="E58" s="62">
        <f>N71</f>
        <v>351307</v>
      </c>
      <c r="F58" s="63"/>
      <c r="G58" s="9"/>
      <c r="H58" s="9"/>
      <c r="I58" s="43"/>
      <c r="J58" s="44"/>
      <c r="K58" s="64">
        <f>SUM(K47:K57)</f>
        <v>22450</v>
      </c>
      <c r="L58" s="65" t="s">
        <v>33</v>
      </c>
      <c r="M58" s="64">
        <f>SUM(M47:M57)</f>
        <v>17980</v>
      </c>
      <c r="N58" s="26">
        <f>N71+K58-M58</f>
        <v>355777</v>
      </c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ht="60.0" customHeight="1">
      <c r="A59" s="59"/>
      <c r="B59" s="60"/>
      <c r="C59" s="61"/>
      <c r="D59" s="59"/>
      <c r="E59" s="69" t="s">
        <v>50</v>
      </c>
      <c r="F59" s="70" t="s">
        <v>55</v>
      </c>
      <c r="G59" s="2"/>
      <c r="H59" s="2"/>
      <c r="I59" s="2"/>
      <c r="J59" s="2"/>
      <c r="K59" s="2"/>
      <c r="L59" s="2"/>
      <c r="M59" s="2"/>
      <c r="N59" s="3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ht="18.75" customHeight="1">
      <c r="A60" s="13">
        <v>1224.0</v>
      </c>
      <c r="B60" s="14">
        <v>46060.0</v>
      </c>
      <c r="C60" s="15"/>
      <c r="D60" s="16" t="s">
        <v>56</v>
      </c>
      <c r="E60" s="17" t="s">
        <v>15</v>
      </c>
      <c r="F60" s="40" t="s">
        <v>35</v>
      </c>
      <c r="G60" s="51">
        <v>200.0</v>
      </c>
      <c r="H60" s="66">
        <v>66.0</v>
      </c>
      <c r="I60" s="48"/>
      <c r="J60" s="38"/>
      <c r="K60" s="39">
        <f t="shared" ref="K60:K66" si="5">G60*H60</f>
        <v>13200</v>
      </c>
      <c r="L60" s="51" t="s">
        <v>36</v>
      </c>
      <c r="M60" s="39">
        <v>0.0</v>
      </c>
      <c r="N60" s="26">
        <f>K71-M71</f>
        <v>6575</v>
      </c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ht="18.75" customHeight="1">
      <c r="A61" s="28"/>
      <c r="B61" s="29"/>
      <c r="C61" s="30"/>
      <c r="D61" s="28"/>
      <c r="E61" s="28"/>
      <c r="F61" s="67" t="s">
        <v>37</v>
      </c>
      <c r="G61" s="41">
        <v>150.0</v>
      </c>
      <c r="H61" s="42">
        <v>47.0</v>
      </c>
      <c r="I61" s="43"/>
      <c r="J61" s="44"/>
      <c r="K61" s="45">
        <f t="shared" si="5"/>
        <v>7050</v>
      </c>
      <c r="L61" s="41" t="s">
        <v>38</v>
      </c>
      <c r="M61" s="45">
        <v>200.0</v>
      </c>
      <c r="N61" s="35" t="s">
        <v>20</v>
      </c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ht="18.75" customHeight="1">
      <c r="A62" s="28"/>
      <c r="B62" s="29"/>
      <c r="C62" s="30"/>
      <c r="D62" s="28"/>
      <c r="E62" s="28"/>
      <c r="F62" s="68" t="s">
        <v>39</v>
      </c>
      <c r="G62" s="51">
        <v>150.0</v>
      </c>
      <c r="H62" s="42"/>
      <c r="I62" s="48"/>
      <c r="J62" s="38"/>
      <c r="K62" s="39">
        <f t="shared" si="5"/>
        <v>0</v>
      </c>
      <c r="L62" s="58" t="s">
        <v>40</v>
      </c>
      <c r="M62" s="25">
        <v>350.0</v>
      </c>
      <c r="N62" s="28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ht="18.75" customHeight="1">
      <c r="A63" s="28"/>
      <c r="B63" s="29"/>
      <c r="C63" s="30"/>
      <c r="D63" s="28"/>
      <c r="E63" s="28"/>
      <c r="F63" s="40" t="s">
        <v>41</v>
      </c>
      <c r="G63" s="41">
        <v>100.0</v>
      </c>
      <c r="H63" s="42">
        <v>2.0</v>
      </c>
      <c r="I63" s="43"/>
      <c r="J63" s="44"/>
      <c r="K63" s="45">
        <f t="shared" si="5"/>
        <v>200</v>
      </c>
      <c r="L63" s="65" t="s">
        <v>42</v>
      </c>
      <c r="M63" s="34">
        <v>3500.0</v>
      </c>
      <c r="N63" s="28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ht="18.75" customHeight="1">
      <c r="A64" s="28"/>
      <c r="B64" s="29"/>
      <c r="C64" s="30"/>
      <c r="D64" s="28"/>
      <c r="E64" s="28"/>
      <c r="F64" s="47" t="s">
        <v>43</v>
      </c>
      <c r="G64" s="41">
        <v>200.0</v>
      </c>
      <c r="H64" s="43"/>
      <c r="I64" s="48"/>
      <c r="J64" s="38"/>
      <c r="K64" s="39">
        <f t="shared" si="5"/>
        <v>0</v>
      </c>
      <c r="L64" s="58" t="s">
        <v>44</v>
      </c>
      <c r="M64" s="34">
        <v>5180.0</v>
      </c>
      <c r="N64" s="28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ht="18.75" customHeight="1">
      <c r="A65" s="28"/>
      <c r="B65" s="29"/>
      <c r="C65" s="30"/>
      <c r="D65" s="28"/>
      <c r="E65" s="28"/>
      <c r="F65" s="50" t="s">
        <v>45</v>
      </c>
      <c r="G65" s="51">
        <v>150.0</v>
      </c>
      <c r="H65" s="43"/>
      <c r="I65" s="48"/>
      <c r="J65" s="38"/>
      <c r="K65" s="39">
        <f t="shared" si="5"/>
        <v>0</v>
      </c>
      <c r="L65" s="65" t="s">
        <v>46</v>
      </c>
      <c r="M65" s="25">
        <f>880+220+450+600+60+50+60</f>
        <v>2320</v>
      </c>
      <c r="N65" s="28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ht="18.75" customHeight="1">
      <c r="A66" s="28"/>
      <c r="B66" s="29"/>
      <c r="C66" s="30"/>
      <c r="D66" s="28"/>
      <c r="E66" s="28"/>
      <c r="F66" s="52" t="s">
        <v>47</v>
      </c>
      <c r="G66" s="53"/>
      <c r="H66" s="54"/>
      <c r="I66" s="48"/>
      <c r="J66" s="38"/>
      <c r="K66" s="45">
        <f t="shared" si="5"/>
        <v>0</v>
      </c>
      <c r="L66" s="58" t="s">
        <v>48</v>
      </c>
      <c r="M66" s="34">
        <f>2200+45+80</f>
        <v>2325</v>
      </c>
      <c r="N66" s="28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ht="18.75" customHeight="1">
      <c r="A67" s="28"/>
      <c r="B67" s="29"/>
      <c r="C67" s="30"/>
      <c r="D67" s="28"/>
      <c r="E67" s="28"/>
      <c r="F67" s="52" t="s">
        <v>49</v>
      </c>
      <c r="G67" s="53"/>
      <c r="H67" s="48"/>
      <c r="I67" s="43"/>
      <c r="J67" s="38"/>
      <c r="K67" s="39"/>
      <c r="L67" s="58"/>
      <c r="M67" s="38"/>
      <c r="N67" s="28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ht="18.75" customHeight="1">
      <c r="A68" s="28"/>
      <c r="B68" s="29"/>
      <c r="C68" s="30"/>
      <c r="D68" s="28"/>
      <c r="E68" s="28"/>
      <c r="F68" s="56"/>
      <c r="G68" s="38"/>
      <c r="H68" s="48"/>
      <c r="I68" s="43"/>
      <c r="J68" s="38"/>
      <c r="K68" s="39"/>
      <c r="L68" s="58"/>
      <c r="M68" s="38"/>
      <c r="N68" s="28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ht="18.75" customHeight="1">
      <c r="A69" s="28"/>
      <c r="B69" s="29"/>
      <c r="C69" s="30"/>
      <c r="D69" s="28"/>
      <c r="E69" s="28"/>
      <c r="F69" s="56"/>
      <c r="G69" s="38"/>
      <c r="H69" s="48"/>
      <c r="I69" s="43"/>
      <c r="J69" s="38"/>
      <c r="K69" s="39"/>
      <c r="L69" s="58"/>
      <c r="M69" s="38"/>
      <c r="N69" s="28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ht="18.75" customHeight="1">
      <c r="A70" s="28"/>
      <c r="B70" s="29"/>
      <c r="C70" s="30"/>
      <c r="D70" s="28"/>
      <c r="E70" s="59"/>
      <c r="F70" s="56"/>
      <c r="G70" s="38"/>
      <c r="H70" s="48"/>
      <c r="I70" s="43"/>
      <c r="J70" s="38"/>
      <c r="K70" s="39"/>
      <c r="L70" s="58"/>
      <c r="M70" s="38"/>
      <c r="N70" s="59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ht="18.75" customHeight="1">
      <c r="A71" s="28"/>
      <c r="B71" s="29"/>
      <c r="C71" s="30"/>
      <c r="D71" s="28"/>
      <c r="E71" s="62">
        <f>N84</f>
        <v>344732</v>
      </c>
      <c r="F71" s="63"/>
      <c r="G71" s="9"/>
      <c r="H71" s="9"/>
      <c r="I71" s="43"/>
      <c r="J71" s="44"/>
      <c r="K71" s="64">
        <f>SUM(K60:K70)</f>
        <v>20450</v>
      </c>
      <c r="L71" s="65" t="s">
        <v>33</v>
      </c>
      <c r="M71" s="64">
        <f>SUM(M60:M70)</f>
        <v>13875</v>
      </c>
      <c r="N71" s="26">
        <f>N84+K71-M71</f>
        <v>351307</v>
      </c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ht="62.25" customHeight="1">
      <c r="A72" s="59"/>
      <c r="B72" s="60"/>
      <c r="C72" s="61"/>
      <c r="D72" s="59"/>
      <c r="E72" s="69" t="s">
        <v>50</v>
      </c>
      <c r="F72" s="70" t="s">
        <v>57</v>
      </c>
      <c r="G72" s="2"/>
      <c r="H72" s="2"/>
      <c r="I72" s="2"/>
      <c r="J72" s="2"/>
      <c r="K72" s="2"/>
      <c r="L72" s="2"/>
      <c r="M72" s="2"/>
      <c r="N72" s="3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ht="18.75" customHeight="1">
      <c r="A73" s="13">
        <v>1223.0</v>
      </c>
      <c r="B73" s="14">
        <v>46053.0</v>
      </c>
      <c r="C73" s="15"/>
      <c r="D73" s="16" t="s">
        <v>58</v>
      </c>
      <c r="E73" s="17" t="s">
        <v>15</v>
      </c>
      <c r="F73" s="40" t="s">
        <v>35</v>
      </c>
      <c r="G73" s="51">
        <v>200.0</v>
      </c>
      <c r="H73" s="66">
        <v>91.0</v>
      </c>
      <c r="I73" s="48"/>
      <c r="J73" s="38"/>
      <c r="K73" s="39">
        <f t="shared" ref="K73:K79" si="6">G73*H73</f>
        <v>18200</v>
      </c>
      <c r="L73" s="51" t="s">
        <v>36</v>
      </c>
      <c r="M73" s="39">
        <v>0.0</v>
      </c>
      <c r="N73" s="26">
        <f>K84-M84</f>
        <v>12155</v>
      </c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ht="18.75" customHeight="1">
      <c r="A74" s="28"/>
      <c r="B74" s="29"/>
      <c r="C74" s="30"/>
      <c r="D74" s="28"/>
      <c r="E74" s="28"/>
      <c r="F74" s="67" t="s">
        <v>37</v>
      </c>
      <c r="G74" s="41">
        <v>150.0</v>
      </c>
      <c r="H74" s="42">
        <v>65.0</v>
      </c>
      <c r="I74" s="43"/>
      <c r="J74" s="44"/>
      <c r="K74" s="45">
        <f t="shared" si="6"/>
        <v>9750</v>
      </c>
      <c r="L74" s="41" t="s">
        <v>38</v>
      </c>
      <c r="M74" s="45">
        <v>200.0</v>
      </c>
      <c r="N74" s="35" t="s">
        <v>20</v>
      </c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ht="18.75" customHeight="1">
      <c r="A75" s="28"/>
      <c r="B75" s="29"/>
      <c r="C75" s="30"/>
      <c r="D75" s="28"/>
      <c r="E75" s="28"/>
      <c r="F75" s="68" t="s">
        <v>39</v>
      </c>
      <c r="G75" s="51">
        <v>150.0</v>
      </c>
      <c r="H75" s="42"/>
      <c r="I75" s="48"/>
      <c r="J75" s="38"/>
      <c r="K75" s="39">
        <f t="shared" si="6"/>
        <v>0</v>
      </c>
      <c r="L75" s="58" t="s">
        <v>40</v>
      </c>
      <c r="M75" s="25">
        <v>350.0</v>
      </c>
      <c r="N75" s="28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ht="18.75" customHeight="1">
      <c r="A76" s="28"/>
      <c r="B76" s="29"/>
      <c r="C76" s="30"/>
      <c r="D76" s="28"/>
      <c r="E76" s="28"/>
      <c r="F76" s="40" t="s">
        <v>41</v>
      </c>
      <c r="G76" s="41">
        <v>100.0</v>
      </c>
      <c r="H76" s="42"/>
      <c r="I76" s="43"/>
      <c r="J76" s="44"/>
      <c r="K76" s="45">
        <f t="shared" si="6"/>
        <v>0</v>
      </c>
      <c r="L76" s="65" t="s">
        <v>42</v>
      </c>
      <c r="M76" s="34">
        <v>3500.0</v>
      </c>
      <c r="N76" s="28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ht="18.75" customHeight="1">
      <c r="A77" s="28"/>
      <c r="B77" s="29"/>
      <c r="C77" s="30"/>
      <c r="D77" s="28"/>
      <c r="E77" s="28"/>
      <c r="F77" s="47" t="s">
        <v>43</v>
      </c>
      <c r="G77" s="41">
        <v>200.0</v>
      </c>
      <c r="H77" s="43"/>
      <c r="I77" s="48"/>
      <c r="J77" s="38"/>
      <c r="K77" s="39">
        <f t="shared" si="6"/>
        <v>0</v>
      </c>
      <c r="L77" s="58" t="s">
        <v>44</v>
      </c>
      <c r="M77" s="34">
        <v>8380.0</v>
      </c>
      <c r="N77" s="28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ht="18.75" customHeight="1">
      <c r="A78" s="28"/>
      <c r="B78" s="29"/>
      <c r="C78" s="30"/>
      <c r="D78" s="28"/>
      <c r="E78" s="28"/>
      <c r="F78" s="50" t="s">
        <v>45</v>
      </c>
      <c r="G78" s="51">
        <v>150.0</v>
      </c>
      <c r="H78" s="43"/>
      <c r="I78" s="48"/>
      <c r="J78" s="38"/>
      <c r="K78" s="39">
        <f t="shared" si="6"/>
        <v>0</v>
      </c>
      <c r="L78" s="65" t="s">
        <v>46</v>
      </c>
      <c r="M78" s="25">
        <f>660+220+540+60+1200+180+410+95</f>
        <v>3365</v>
      </c>
      <c r="N78" s="28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ht="18.75" customHeight="1">
      <c r="A79" s="28"/>
      <c r="B79" s="29"/>
      <c r="C79" s="30"/>
      <c r="D79" s="28"/>
      <c r="E79" s="28"/>
      <c r="F79" s="52" t="s">
        <v>47</v>
      </c>
      <c r="G79" s="53"/>
      <c r="H79" s="54"/>
      <c r="I79" s="48"/>
      <c r="J79" s="38"/>
      <c r="K79" s="45">
        <f t="shared" si="6"/>
        <v>0</v>
      </c>
      <c r="L79" s="58" t="s">
        <v>48</v>
      </c>
      <c r="M79" s="34"/>
      <c r="N79" s="28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ht="18.75" customHeight="1">
      <c r="A80" s="28"/>
      <c r="B80" s="29"/>
      <c r="C80" s="30"/>
      <c r="D80" s="28"/>
      <c r="E80" s="28"/>
      <c r="F80" s="52" t="s">
        <v>49</v>
      </c>
      <c r="G80" s="53"/>
      <c r="H80" s="48"/>
      <c r="I80" s="43"/>
      <c r="J80" s="38"/>
      <c r="K80" s="39"/>
      <c r="L80" s="58"/>
      <c r="M80" s="38"/>
      <c r="N80" s="28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ht="18.75" customHeight="1">
      <c r="A81" s="28"/>
      <c r="B81" s="29"/>
      <c r="C81" s="30"/>
      <c r="D81" s="28"/>
      <c r="E81" s="28"/>
      <c r="F81" s="56"/>
      <c r="G81" s="38"/>
      <c r="H81" s="48"/>
      <c r="I81" s="43"/>
      <c r="J81" s="38"/>
      <c r="K81" s="39"/>
      <c r="L81" s="58"/>
      <c r="M81" s="38"/>
      <c r="N81" s="28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ht="18.75" customHeight="1">
      <c r="A82" s="28"/>
      <c r="B82" s="29"/>
      <c r="C82" s="30"/>
      <c r="D82" s="28"/>
      <c r="E82" s="28"/>
      <c r="F82" s="56"/>
      <c r="G82" s="38"/>
      <c r="H82" s="48"/>
      <c r="I82" s="43"/>
      <c r="J82" s="38"/>
      <c r="K82" s="39"/>
      <c r="L82" s="58"/>
      <c r="M82" s="38"/>
      <c r="N82" s="28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ht="18.75" customHeight="1">
      <c r="A83" s="28"/>
      <c r="B83" s="29"/>
      <c r="C83" s="30"/>
      <c r="D83" s="28"/>
      <c r="E83" s="59"/>
      <c r="F83" s="56"/>
      <c r="G83" s="38"/>
      <c r="H83" s="48"/>
      <c r="I83" s="43"/>
      <c r="J83" s="38"/>
      <c r="K83" s="39"/>
      <c r="L83" s="58"/>
      <c r="M83" s="38"/>
      <c r="N83" s="59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ht="18.75" customHeight="1">
      <c r="A84" s="28"/>
      <c r="B84" s="29"/>
      <c r="C84" s="30"/>
      <c r="D84" s="28"/>
      <c r="E84" s="62">
        <f>N97</f>
        <v>332577</v>
      </c>
      <c r="F84" s="63"/>
      <c r="G84" s="9"/>
      <c r="H84" s="9"/>
      <c r="I84" s="43"/>
      <c r="J84" s="44"/>
      <c r="K84" s="64">
        <f>SUM(K73:K83)</f>
        <v>27950</v>
      </c>
      <c r="L84" s="65" t="s">
        <v>33</v>
      </c>
      <c r="M84" s="64">
        <f>SUM(M73:M83)</f>
        <v>15795</v>
      </c>
      <c r="N84" s="26">
        <f>N97+K84-M84</f>
        <v>344732</v>
      </c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ht="85.5" customHeight="1">
      <c r="A85" s="59"/>
      <c r="B85" s="60"/>
      <c r="C85" s="61"/>
      <c r="D85" s="59"/>
      <c r="E85" s="69" t="s">
        <v>50</v>
      </c>
      <c r="F85" s="70" t="s">
        <v>59</v>
      </c>
      <c r="G85" s="2"/>
      <c r="H85" s="2"/>
      <c r="I85" s="2"/>
      <c r="J85" s="2"/>
      <c r="K85" s="2"/>
      <c r="L85" s="2"/>
      <c r="M85" s="2"/>
      <c r="N85" s="3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ht="18.75" customHeight="1">
      <c r="A86" s="13">
        <v>1222.0</v>
      </c>
      <c r="B86" s="14">
        <v>46046.0</v>
      </c>
      <c r="C86" s="15"/>
      <c r="D86" s="16" t="s">
        <v>52</v>
      </c>
      <c r="E86" s="17" t="s">
        <v>15</v>
      </c>
      <c r="F86" s="40" t="s">
        <v>35</v>
      </c>
      <c r="G86" s="51">
        <v>200.0</v>
      </c>
      <c r="H86" s="66">
        <v>80.0</v>
      </c>
      <c r="I86" s="48"/>
      <c r="J86" s="38"/>
      <c r="K86" s="39">
        <f t="shared" ref="K86:K92" si="7">G86*H86</f>
        <v>16000</v>
      </c>
      <c r="L86" s="51" t="s">
        <v>36</v>
      </c>
      <c r="M86" s="39">
        <v>0.0</v>
      </c>
      <c r="N86" s="26">
        <f>K97-M97</f>
        <v>5960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ht="18.75" customHeight="1">
      <c r="A87" s="28"/>
      <c r="B87" s="29"/>
      <c r="C87" s="30"/>
      <c r="D87" s="28"/>
      <c r="E87" s="28"/>
      <c r="F87" s="67" t="s">
        <v>37</v>
      </c>
      <c r="G87" s="41">
        <v>150.0</v>
      </c>
      <c r="H87" s="42">
        <v>52.0</v>
      </c>
      <c r="I87" s="43"/>
      <c r="J87" s="44"/>
      <c r="K87" s="45">
        <f t="shared" si="7"/>
        <v>7800</v>
      </c>
      <c r="L87" s="41" t="s">
        <v>38</v>
      </c>
      <c r="M87" s="45">
        <v>200.0</v>
      </c>
      <c r="N87" s="35" t="s">
        <v>20</v>
      </c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 ht="18.75" customHeight="1">
      <c r="A88" s="28"/>
      <c r="B88" s="29"/>
      <c r="C88" s="30"/>
      <c r="D88" s="28"/>
      <c r="E88" s="28"/>
      <c r="F88" s="68" t="s">
        <v>39</v>
      </c>
      <c r="G88" s="51">
        <v>150.0</v>
      </c>
      <c r="H88" s="42"/>
      <c r="I88" s="48"/>
      <c r="J88" s="38"/>
      <c r="K88" s="39">
        <f t="shared" si="7"/>
        <v>0</v>
      </c>
      <c r="L88" s="58" t="s">
        <v>40</v>
      </c>
      <c r="M88" s="25">
        <v>400.0</v>
      </c>
      <c r="N88" s="28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 ht="18.75" customHeight="1">
      <c r="A89" s="28"/>
      <c r="B89" s="29"/>
      <c r="C89" s="30"/>
      <c r="D89" s="28"/>
      <c r="E89" s="28"/>
      <c r="F89" s="40" t="s">
        <v>41</v>
      </c>
      <c r="G89" s="41">
        <v>100.0</v>
      </c>
      <c r="H89" s="42">
        <v>3.0</v>
      </c>
      <c r="I89" s="43"/>
      <c r="J89" s="44"/>
      <c r="K89" s="45">
        <f t="shared" si="7"/>
        <v>300</v>
      </c>
      <c r="L89" s="65" t="s">
        <v>42</v>
      </c>
      <c r="M89" s="34">
        <v>4000.0</v>
      </c>
      <c r="N89" s="28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 ht="18.75" customHeight="1">
      <c r="A90" s="28"/>
      <c r="B90" s="29"/>
      <c r="C90" s="30"/>
      <c r="D90" s="28"/>
      <c r="E90" s="28"/>
      <c r="F90" s="47" t="s">
        <v>43</v>
      </c>
      <c r="G90" s="41">
        <v>200.0</v>
      </c>
      <c r="H90" s="43"/>
      <c r="I90" s="48"/>
      <c r="J90" s="38"/>
      <c r="K90" s="39">
        <f t="shared" si="7"/>
        <v>0</v>
      </c>
      <c r="L90" s="58" t="s">
        <v>44</v>
      </c>
      <c r="M90" s="34">
        <v>6380.0</v>
      </c>
      <c r="N90" s="28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 ht="18.75" customHeight="1">
      <c r="A91" s="28"/>
      <c r="B91" s="29"/>
      <c r="C91" s="30"/>
      <c r="D91" s="28"/>
      <c r="E91" s="28"/>
      <c r="F91" s="50" t="s">
        <v>45</v>
      </c>
      <c r="G91" s="51">
        <v>150.0</v>
      </c>
      <c r="H91" s="43"/>
      <c r="I91" s="48"/>
      <c r="J91" s="38"/>
      <c r="K91" s="39">
        <f t="shared" si="7"/>
        <v>0</v>
      </c>
      <c r="L91" s="65" t="s">
        <v>46</v>
      </c>
      <c r="M91" s="25">
        <f>770+220+540+600+60+50+120</f>
        <v>2360</v>
      </c>
      <c r="N91" s="28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 ht="18.75" customHeight="1">
      <c r="A92" s="28"/>
      <c r="B92" s="29"/>
      <c r="C92" s="30"/>
      <c r="D92" s="28"/>
      <c r="E92" s="28"/>
      <c r="F92" s="52" t="s">
        <v>47</v>
      </c>
      <c r="G92" s="53"/>
      <c r="H92" s="54"/>
      <c r="I92" s="48"/>
      <c r="J92" s="38"/>
      <c r="K92" s="45">
        <f t="shared" si="7"/>
        <v>0</v>
      </c>
      <c r="L92" s="58" t="s">
        <v>48</v>
      </c>
      <c r="M92" s="34">
        <f>1200+3600</f>
        <v>4800</v>
      </c>
      <c r="N92" s="28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 ht="18.75" customHeight="1">
      <c r="A93" s="28"/>
      <c r="B93" s="29"/>
      <c r="C93" s="30"/>
      <c r="D93" s="28"/>
      <c r="E93" s="28"/>
      <c r="F93" s="52" t="s">
        <v>49</v>
      </c>
      <c r="G93" s="53"/>
      <c r="H93" s="48"/>
      <c r="I93" s="43"/>
      <c r="J93" s="38"/>
      <c r="K93" s="39"/>
      <c r="L93" s="58"/>
      <c r="M93" s="38"/>
      <c r="N93" s="28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 ht="18.75" customHeight="1">
      <c r="A94" s="28"/>
      <c r="B94" s="29"/>
      <c r="C94" s="30"/>
      <c r="D94" s="28"/>
      <c r="E94" s="28"/>
      <c r="F94" s="56"/>
      <c r="G94" s="38"/>
      <c r="H94" s="48"/>
      <c r="I94" s="43"/>
      <c r="J94" s="38"/>
      <c r="K94" s="39"/>
      <c r="L94" s="58"/>
      <c r="M94" s="38"/>
      <c r="N94" s="28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</row>
    <row r="95" ht="18.75" customHeight="1">
      <c r="A95" s="28"/>
      <c r="B95" s="29"/>
      <c r="C95" s="30"/>
      <c r="D95" s="28"/>
      <c r="E95" s="28"/>
      <c r="F95" s="56"/>
      <c r="G95" s="38"/>
      <c r="H95" s="48"/>
      <c r="I95" s="43"/>
      <c r="J95" s="38"/>
      <c r="K95" s="39"/>
      <c r="L95" s="58"/>
      <c r="M95" s="38"/>
      <c r="N95" s="28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</row>
    <row r="96" ht="18.75" customHeight="1">
      <c r="A96" s="28"/>
      <c r="B96" s="29"/>
      <c r="C96" s="30"/>
      <c r="D96" s="28"/>
      <c r="E96" s="59"/>
      <c r="F96" s="56"/>
      <c r="G96" s="38"/>
      <c r="H96" s="48"/>
      <c r="I96" s="43"/>
      <c r="J96" s="38"/>
      <c r="K96" s="39"/>
      <c r="L96" s="58"/>
      <c r="M96" s="38"/>
      <c r="N96" s="59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</row>
    <row r="97" ht="18.75" customHeight="1">
      <c r="A97" s="28"/>
      <c r="B97" s="29"/>
      <c r="C97" s="30"/>
      <c r="D97" s="28"/>
      <c r="E97" s="62">
        <f>N110</f>
        <v>326617</v>
      </c>
      <c r="F97" s="63"/>
      <c r="G97" s="9"/>
      <c r="H97" s="9"/>
      <c r="I97" s="43"/>
      <c r="J97" s="44"/>
      <c r="K97" s="64">
        <f>SUM(K86:K96)</f>
        <v>24100</v>
      </c>
      <c r="L97" s="65" t="s">
        <v>33</v>
      </c>
      <c r="M97" s="64">
        <f>SUM(M86:M96)</f>
        <v>18140</v>
      </c>
      <c r="N97" s="26">
        <f>N110+K97-M97</f>
        <v>332577</v>
      </c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</row>
    <row r="98" ht="61.5" customHeight="1">
      <c r="A98" s="59"/>
      <c r="B98" s="60"/>
      <c r="C98" s="61"/>
      <c r="D98" s="59"/>
      <c r="E98" s="69" t="s">
        <v>50</v>
      </c>
      <c r="F98" s="70" t="s">
        <v>60</v>
      </c>
      <c r="G98" s="2"/>
      <c r="H98" s="2"/>
      <c r="I98" s="2"/>
      <c r="J98" s="2"/>
      <c r="K98" s="2"/>
      <c r="L98" s="2"/>
      <c r="M98" s="2"/>
      <c r="N98" s="3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</row>
    <row r="99" ht="18.75" customHeight="1">
      <c r="A99" s="13">
        <v>1221.0</v>
      </c>
      <c r="B99" s="14">
        <v>46039.0</v>
      </c>
      <c r="C99" s="15"/>
      <c r="D99" s="16" t="s">
        <v>54</v>
      </c>
      <c r="E99" s="17" t="s">
        <v>15</v>
      </c>
      <c r="F99" s="40" t="s">
        <v>35</v>
      </c>
      <c r="G99" s="51">
        <v>200.0</v>
      </c>
      <c r="H99" s="66">
        <v>66.0</v>
      </c>
      <c r="I99" s="48"/>
      <c r="J99" s="38"/>
      <c r="K99" s="39">
        <f t="shared" ref="K99:K105" si="8">G99*H99</f>
        <v>13200</v>
      </c>
      <c r="L99" s="51" t="s">
        <v>36</v>
      </c>
      <c r="M99" s="39">
        <v>0.0</v>
      </c>
      <c r="N99" s="26">
        <f>K110-M110</f>
        <v>7340</v>
      </c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</row>
    <row r="100" ht="18.75" customHeight="1">
      <c r="A100" s="28"/>
      <c r="B100" s="29"/>
      <c r="C100" s="30"/>
      <c r="D100" s="28"/>
      <c r="E100" s="28"/>
      <c r="F100" s="67" t="s">
        <v>37</v>
      </c>
      <c r="G100" s="41">
        <v>150.0</v>
      </c>
      <c r="H100" s="42">
        <v>42.0</v>
      </c>
      <c r="I100" s="43"/>
      <c r="J100" s="44"/>
      <c r="K100" s="45">
        <f t="shared" si="8"/>
        <v>6300</v>
      </c>
      <c r="L100" s="41" t="s">
        <v>38</v>
      </c>
      <c r="M100" s="45">
        <v>200.0</v>
      </c>
      <c r="N100" s="35" t="s">
        <v>20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 ht="18.75" customHeight="1">
      <c r="A101" s="28"/>
      <c r="B101" s="29"/>
      <c r="C101" s="30"/>
      <c r="D101" s="28"/>
      <c r="E101" s="28"/>
      <c r="F101" s="68" t="s">
        <v>39</v>
      </c>
      <c r="G101" s="51">
        <v>150.0</v>
      </c>
      <c r="H101" s="42"/>
      <c r="I101" s="48"/>
      <c r="J101" s="38"/>
      <c r="K101" s="39">
        <f t="shared" si="8"/>
        <v>0</v>
      </c>
      <c r="L101" s="58" t="s">
        <v>40</v>
      </c>
      <c r="M101" s="25">
        <v>400.0</v>
      </c>
      <c r="N101" s="28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 ht="18.75" customHeight="1">
      <c r="A102" s="28"/>
      <c r="B102" s="29"/>
      <c r="C102" s="30"/>
      <c r="D102" s="28"/>
      <c r="E102" s="28"/>
      <c r="F102" s="40" t="s">
        <v>41</v>
      </c>
      <c r="G102" s="41">
        <v>100.0</v>
      </c>
      <c r="H102" s="42">
        <v>2.0</v>
      </c>
      <c r="I102" s="43"/>
      <c r="J102" s="44"/>
      <c r="K102" s="45">
        <f t="shared" si="8"/>
        <v>200</v>
      </c>
      <c r="L102" s="65" t="s">
        <v>42</v>
      </c>
      <c r="M102" s="34">
        <v>3500.0</v>
      </c>
      <c r="N102" s="28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 ht="18.75" customHeight="1">
      <c r="A103" s="28"/>
      <c r="B103" s="29"/>
      <c r="C103" s="30"/>
      <c r="D103" s="28"/>
      <c r="E103" s="28"/>
      <c r="F103" s="47" t="s">
        <v>43</v>
      </c>
      <c r="G103" s="41">
        <v>200.0</v>
      </c>
      <c r="H103" s="43"/>
      <c r="I103" s="48"/>
      <c r="J103" s="38"/>
      <c r="K103" s="39">
        <f t="shared" si="8"/>
        <v>0</v>
      </c>
      <c r="L103" s="58" t="s">
        <v>44</v>
      </c>
      <c r="M103" s="34">
        <v>5730.0</v>
      </c>
      <c r="N103" s="28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ht="18.75" customHeight="1">
      <c r="A104" s="28"/>
      <c r="B104" s="29"/>
      <c r="C104" s="30"/>
      <c r="D104" s="28"/>
      <c r="E104" s="28"/>
      <c r="F104" s="50" t="s">
        <v>45</v>
      </c>
      <c r="G104" s="51">
        <v>150.0</v>
      </c>
      <c r="H104" s="43"/>
      <c r="I104" s="48"/>
      <c r="J104" s="38"/>
      <c r="K104" s="39">
        <f t="shared" si="8"/>
        <v>0</v>
      </c>
      <c r="L104" s="65" t="s">
        <v>46</v>
      </c>
      <c r="M104" s="25">
        <f>880+220+540+600+60+50+180</f>
        <v>2530</v>
      </c>
      <c r="N104" s="28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ht="18.75" customHeight="1">
      <c r="A105" s="28"/>
      <c r="B105" s="29"/>
      <c r="C105" s="30"/>
      <c r="D105" s="28"/>
      <c r="E105" s="28"/>
      <c r="F105" s="52" t="s">
        <v>47</v>
      </c>
      <c r="G105" s="53"/>
      <c r="H105" s="54"/>
      <c r="I105" s="48"/>
      <c r="J105" s="38"/>
      <c r="K105" s="45">
        <f t="shared" si="8"/>
        <v>0</v>
      </c>
      <c r="L105" s="58" t="s">
        <v>48</v>
      </c>
      <c r="M105" s="34"/>
      <c r="N105" s="28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 ht="18.75" customHeight="1">
      <c r="A106" s="28"/>
      <c r="B106" s="29"/>
      <c r="C106" s="30"/>
      <c r="D106" s="28"/>
      <c r="E106" s="28"/>
      <c r="F106" s="52" t="s">
        <v>49</v>
      </c>
      <c r="G106" s="53"/>
      <c r="H106" s="48"/>
      <c r="I106" s="43"/>
      <c r="J106" s="38"/>
      <c r="K106" s="39"/>
      <c r="L106" s="58"/>
      <c r="M106" s="38"/>
      <c r="N106" s="28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 ht="18.75" customHeight="1">
      <c r="A107" s="28"/>
      <c r="B107" s="29"/>
      <c r="C107" s="30"/>
      <c r="D107" s="28"/>
      <c r="E107" s="28"/>
      <c r="F107" s="56"/>
      <c r="G107" s="38"/>
      <c r="H107" s="48"/>
      <c r="I107" s="43"/>
      <c r="J107" s="38"/>
      <c r="K107" s="39"/>
      <c r="L107" s="58"/>
      <c r="M107" s="38"/>
      <c r="N107" s="28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ht="18.75" customHeight="1">
      <c r="A108" s="28"/>
      <c r="B108" s="29"/>
      <c r="C108" s="30"/>
      <c r="D108" s="28"/>
      <c r="E108" s="28"/>
      <c r="F108" s="56"/>
      <c r="G108" s="38"/>
      <c r="H108" s="48"/>
      <c r="I108" s="43"/>
      <c r="J108" s="38"/>
      <c r="K108" s="39"/>
      <c r="L108" s="58"/>
      <c r="M108" s="38"/>
      <c r="N108" s="28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</row>
    <row r="109" ht="18.75" customHeight="1">
      <c r="A109" s="28"/>
      <c r="B109" s="29"/>
      <c r="C109" s="30"/>
      <c r="D109" s="28"/>
      <c r="E109" s="59"/>
      <c r="F109" s="56"/>
      <c r="G109" s="38"/>
      <c r="H109" s="48"/>
      <c r="I109" s="43"/>
      <c r="J109" s="38"/>
      <c r="K109" s="39"/>
      <c r="L109" s="58"/>
      <c r="M109" s="38"/>
      <c r="N109" s="59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</row>
    <row r="110" ht="18.75" customHeight="1">
      <c r="A110" s="28"/>
      <c r="B110" s="29"/>
      <c r="C110" s="30"/>
      <c r="D110" s="28"/>
      <c r="E110" s="62">
        <f>N123</f>
        <v>319277</v>
      </c>
      <c r="F110" s="63"/>
      <c r="G110" s="9"/>
      <c r="H110" s="9"/>
      <c r="I110" s="43"/>
      <c r="J110" s="44"/>
      <c r="K110" s="64">
        <f>SUM(K99:K109)</f>
        <v>19700</v>
      </c>
      <c r="L110" s="65" t="s">
        <v>33</v>
      </c>
      <c r="M110" s="64">
        <f>SUM(M99:M109)</f>
        <v>12360</v>
      </c>
      <c r="N110" s="26">
        <f>N123+K110-M110</f>
        <v>326617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</row>
    <row r="111" ht="60.0" customHeight="1">
      <c r="A111" s="59"/>
      <c r="B111" s="60"/>
      <c r="C111" s="61"/>
      <c r="D111" s="59"/>
      <c r="E111" s="69" t="s">
        <v>50</v>
      </c>
      <c r="F111" s="70" t="s">
        <v>61</v>
      </c>
      <c r="G111" s="2"/>
      <c r="H111" s="2"/>
      <c r="I111" s="2"/>
      <c r="J111" s="2"/>
      <c r="K111" s="2"/>
      <c r="L111" s="2"/>
      <c r="M111" s="2"/>
      <c r="N111" s="3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</row>
    <row r="112" ht="18.75" customHeight="1">
      <c r="A112" s="13">
        <v>1220.0</v>
      </c>
      <c r="B112" s="14">
        <v>46032.0</v>
      </c>
      <c r="C112" s="15"/>
      <c r="D112" s="16" t="s">
        <v>62</v>
      </c>
      <c r="E112" s="71" t="s">
        <v>15</v>
      </c>
      <c r="F112" s="40" t="s">
        <v>35</v>
      </c>
      <c r="G112" s="51">
        <v>200.0</v>
      </c>
      <c r="H112" s="66">
        <v>61.0</v>
      </c>
      <c r="I112" s="48"/>
      <c r="J112" s="38"/>
      <c r="K112" s="39">
        <f t="shared" ref="K112:K118" si="9">G112*H112</f>
        <v>12200</v>
      </c>
      <c r="L112" s="51" t="s">
        <v>36</v>
      </c>
      <c r="M112" s="39">
        <v>0.0</v>
      </c>
      <c r="N112" s="26">
        <f>K123-M123</f>
        <v>7195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</row>
    <row r="113" ht="18.75" customHeight="1">
      <c r="A113" s="28"/>
      <c r="B113" s="29"/>
      <c r="C113" s="30"/>
      <c r="D113" s="28"/>
      <c r="E113" s="28"/>
      <c r="F113" s="67" t="s">
        <v>37</v>
      </c>
      <c r="G113" s="41">
        <v>150.0</v>
      </c>
      <c r="H113" s="42">
        <v>43.0</v>
      </c>
      <c r="I113" s="43"/>
      <c r="J113" s="44"/>
      <c r="K113" s="45">
        <f t="shared" si="9"/>
        <v>6450</v>
      </c>
      <c r="L113" s="41" t="s">
        <v>38</v>
      </c>
      <c r="M113" s="45">
        <v>200.0</v>
      </c>
      <c r="N113" s="35" t="s">
        <v>20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</row>
    <row r="114" ht="18.75" customHeight="1">
      <c r="A114" s="28"/>
      <c r="B114" s="29"/>
      <c r="C114" s="30"/>
      <c r="D114" s="28"/>
      <c r="E114" s="28"/>
      <c r="F114" s="68" t="s">
        <v>39</v>
      </c>
      <c r="G114" s="51">
        <v>150.0</v>
      </c>
      <c r="H114" s="42"/>
      <c r="I114" s="48"/>
      <c r="J114" s="38"/>
      <c r="K114" s="39">
        <f t="shared" si="9"/>
        <v>0</v>
      </c>
      <c r="L114" s="58" t="s">
        <v>40</v>
      </c>
      <c r="M114" s="25">
        <v>400.0</v>
      </c>
      <c r="N114" s="28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</row>
    <row r="115" ht="18.75" customHeight="1">
      <c r="A115" s="28"/>
      <c r="B115" s="29"/>
      <c r="C115" s="30"/>
      <c r="D115" s="28"/>
      <c r="E115" s="28"/>
      <c r="F115" s="40" t="s">
        <v>41</v>
      </c>
      <c r="G115" s="41">
        <v>100.0</v>
      </c>
      <c r="H115" s="42">
        <v>1.0</v>
      </c>
      <c r="I115" s="43"/>
      <c r="J115" s="44"/>
      <c r="K115" s="45">
        <f t="shared" si="9"/>
        <v>100</v>
      </c>
      <c r="L115" s="65" t="s">
        <v>42</v>
      </c>
      <c r="M115" s="34">
        <v>3500.0</v>
      </c>
      <c r="N115" s="28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</row>
    <row r="116" ht="18.75" customHeight="1">
      <c r="A116" s="28"/>
      <c r="B116" s="29"/>
      <c r="C116" s="30"/>
      <c r="D116" s="28"/>
      <c r="E116" s="28"/>
      <c r="F116" s="47" t="s">
        <v>43</v>
      </c>
      <c r="G116" s="41">
        <v>200.0</v>
      </c>
      <c r="H116" s="43"/>
      <c r="I116" s="48"/>
      <c r="J116" s="38"/>
      <c r="K116" s="39">
        <f t="shared" si="9"/>
        <v>0</v>
      </c>
      <c r="L116" s="58" t="s">
        <v>44</v>
      </c>
      <c r="M116" s="34">
        <v>4830.0</v>
      </c>
      <c r="N116" s="28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</row>
    <row r="117" ht="18.75" customHeight="1">
      <c r="A117" s="28"/>
      <c r="B117" s="29"/>
      <c r="C117" s="30"/>
      <c r="D117" s="28"/>
      <c r="E117" s="28"/>
      <c r="F117" s="50" t="s">
        <v>45</v>
      </c>
      <c r="G117" s="51">
        <v>150.0</v>
      </c>
      <c r="H117" s="43"/>
      <c r="I117" s="48"/>
      <c r="J117" s="38"/>
      <c r="K117" s="39">
        <f t="shared" si="9"/>
        <v>0</v>
      </c>
      <c r="L117" s="65" t="s">
        <v>46</v>
      </c>
      <c r="M117" s="25">
        <f>770+220+540+600+60+50+60+180+100+45</f>
        <v>2625</v>
      </c>
      <c r="N117" s="28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</row>
    <row r="118" ht="18.75" customHeight="1">
      <c r="A118" s="28"/>
      <c r="B118" s="29"/>
      <c r="C118" s="30"/>
      <c r="D118" s="28"/>
      <c r="E118" s="28"/>
      <c r="F118" s="52" t="s">
        <v>47</v>
      </c>
      <c r="G118" s="53"/>
      <c r="H118" s="54"/>
      <c r="I118" s="48"/>
      <c r="J118" s="38"/>
      <c r="K118" s="45">
        <f t="shared" si="9"/>
        <v>0</v>
      </c>
      <c r="L118" s="58" t="s">
        <v>48</v>
      </c>
      <c r="M118" s="34"/>
      <c r="N118" s="28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</row>
    <row r="119" ht="18.75" customHeight="1">
      <c r="A119" s="28"/>
      <c r="B119" s="29"/>
      <c r="C119" s="30"/>
      <c r="D119" s="28"/>
      <c r="E119" s="28"/>
      <c r="F119" s="52" t="s">
        <v>49</v>
      </c>
      <c r="G119" s="53"/>
      <c r="H119" s="48"/>
      <c r="I119" s="43"/>
      <c r="J119" s="38"/>
      <c r="K119" s="39"/>
      <c r="L119" s="58"/>
      <c r="M119" s="38"/>
      <c r="N119" s="28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</row>
    <row r="120" ht="18.75" customHeight="1">
      <c r="A120" s="28"/>
      <c r="B120" s="29"/>
      <c r="C120" s="30"/>
      <c r="D120" s="28"/>
      <c r="E120" s="28"/>
      <c r="F120" s="56"/>
      <c r="G120" s="38"/>
      <c r="H120" s="48"/>
      <c r="I120" s="43"/>
      <c r="J120" s="38"/>
      <c r="K120" s="39"/>
      <c r="L120" s="58"/>
      <c r="M120" s="38"/>
      <c r="N120" s="28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 ht="18.75" customHeight="1">
      <c r="A121" s="28"/>
      <c r="B121" s="29"/>
      <c r="C121" s="30"/>
      <c r="D121" s="28"/>
      <c r="E121" s="28"/>
      <c r="F121" s="56"/>
      <c r="G121" s="38"/>
      <c r="H121" s="48"/>
      <c r="I121" s="43"/>
      <c r="J121" s="38"/>
      <c r="K121" s="39"/>
      <c r="L121" s="58"/>
      <c r="M121" s="38"/>
      <c r="N121" s="28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</row>
    <row r="122" ht="18.75" customHeight="1">
      <c r="A122" s="28"/>
      <c r="B122" s="29"/>
      <c r="C122" s="30"/>
      <c r="D122" s="28"/>
      <c r="E122" s="59"/>
      <c r="F122" s="56"/>
      <c r="G122" s="38"/>
      <c r="H122" s="48"/>
      <c r="I122" s="43"/>
      <c r="J122" s="38"/>
      <c r="K122" s="39"/>
      <c r="L122" s="58"/>
      <c r="M122" s="38"/>
      <c r="N122" s="59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 ht="18.75" customHeight="1">
      <c r="A123" s="28"/>
      <c r="B123" s="29"/>
      <c r="C123" s="30"/>
      <c r="D123" s="28"/>
      <c r="E123" s="72">
        <f>N136</f>
        <v>312082</v>
      </c>
      <c r="F123" s="63"/>
      <c r="G123" s="9"/>
      <c r="H123" s="9"/>
      <c r="I123" s="43"/>
      <c r="J123" s="44"/>
      <c r="K123" s="64">
        <f>SUM(K112:K122)</f>
        <v>18750</v>
      </c>
      <c r="L123" s="65" t="s">
        <v>33</v>
      </c>
      <c r="M123" s="64">
        <f>SUM(M112:M122)</f>
        <v>11555</v>
      </c>
      <c r="N123" s="26">
        <f>N136+K123-M123</f>
        <v>319277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</row>
    <row r="124" ht="73.5" customHeight="1">
      <c r="A124" s="59"/>
      <c r="B124" s="60"/>
      <c r="C124" s="61"/>
      <c r="D124" s="59"/>
      <c r="E124" s="52" t="s">
        <v>50</v>
      </c>
      <c r="F124" s="70" t="s">
        <v>63</v>
      </c>
      <c r="G124" s="2"/>
      <c r="H124" s="2"/>
      <c r="I124" s="2"/>
      <c r="J124" s="2"/>
      <c r="K124" s="2"/>
      <c r="L124" s="2"/>
      <c r="M124" s="2"/>
      <c r="N124" s="3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ht="18.75" customHeight="1">
      <c r="A125" s="13">
        <v>1219.0</v>
      </c>
      <c r="B125" s="14">
        <v>46025.0</v>
      </c>
      <c r="C125" s="15"/>
      <c r="D125" s="16" t="s">
        <v>64</v>
      </c>
      <c r="E125" s="71" t="s">
        <v>15</v>
      </c>
      <c r="F125" s="40" t="s">
        <v>35</v>
      </c>
      <c r="G125" s="51">
        <v>200.0</v>
      </c>
      <c r="H125" s="66">
        <v>87.0</v>
      </c>
      <c r="I125" s="48"/>
      <c r="J125" s="38"/>
      <c r="K125" s="39">
        <f t="shared" ref="K125:K131" si="10">G125*H125</f>
        <v>17400</v>
      </c>
      <c r="L125" s="51" t="s">
        <v>36</v>
      </c>
      <c r="M125" s="39">
        <v>0.0</v>
      </c>
      <c r="N125" s="26">
        <f>K136-M136</f>
        <v>10220</v>
      </c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ht="18.75" customHeight="1">
      <c r="A126" s="28"/>
      <c r="B126" s="29"/>
      <c r="C126" s="30"/>
      <c r="D126" s="28"/>
      <c r="E126" s="28"/>
      <c r="F126" s="67" t="s">
        <v>37</v>
      </c>
      <c r="G126" s="41">
        <v>150.0</v>
      </c>
      <c r="H126" s="42">
        <v>56.0</v>
      </c>
      <c r="I126" s="43"/>
      <c r="J126" s="44"/>
      <c r="K126" s="45">
        <f t="shared" si="10"/>
        <v>8400</v>
      </c>
      <c r="L126" s="41" t="s">
        <v>38</v>
      </c>
      <c r="M126" s="45">
        <v>200.0</v>
      </c>
      <c r="N126" s="35" t="s">
        <v>20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</row>
    <row r="127" ht="18.75" customHeight="1">
      <c r="A127" s="28"/>
      <c r="B127" s="29"/>
      <c r="C127" s="30"/>
      <c r="D127" s="28"/>
      <c r="E127" s="28"/>
      <c r="F127" s="68" t="s">
        <v>39</v>
      </c>
      <c r="G127" s="51">
        <v>150.0</v>
      </c>
      <c r="H127" s="42"/>
      <c r="I127" s="48"/>
      <c r="J127" s="38"/>
      <c r="K127" s="39">
        <f t="shared" si="10"/>
        <v>0</v>
      </c>
      <c r="L127" s="58" t="s">
        <v>40</v>
      </c>
      <c r="M127" s="25">
        <v>350.0</v>
      </c>
      <c r="N127" s="28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ht="18.75" customHeight="1">
      <c r="A128" s="28"/>
      <c r="B128" s="29"/>
      <c r="C128" s="30"/>
      <c r="D128" s="28"/>
      <c r="E128" s="28"/>
      <c r="F128" s="40" t="s">
        <v>41</v>
      </c>
      <c r="G128" s="41">
        <v>100.0</v>
      </c>
      <c r="H128" s="42">
        <v>1.0</v>
      </c>
      <c r="I128" s="43"/>
      <c r="J128" s="44"/>
      <c r="K128" s="45">
        <f t="shared" si="10"/>
        <v>100</v>
      </c>
      <c r="L128" s="65" t="s">
        <v>42</v>
      </c>
      <c r="M128" s="34">
        <v>3500.0</v>
      </c>
      <c r="N128" s="28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</row>
    <row r="129" ht="18.75" customHeight="1">
      <c r="A129" s="28"/>
      <c r="B129" s="29"/>
      <c r="C129" s="30"/>
      <c r="D129" s="28"/>
      <c r="E129" s="28"/>
      <c r="F129" s="47" t="s">
        <v>43</v>
      </c>
      <c r="G129" s="41">
        <v>200.0</v>
      </c>
      <c r="H129" s="43"/>
      <c r="I129" s="48"/>
      <c r="J129" s="38"/>
      <c r="K129" s="39">
        <f t="shared" si="10"/>
        <v>0</v>
      </c>
      <c r="L129" s="58" t="s">
        <v>44</v>
      </c>
      <c r="M129" s="34">
        <v>6120.0</v>
      </c>
      <c r="N129" s="28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</row>
    <row r="130" ht="18.75" customHeight="1">
      <c r="A130" s="28"/>
      <c r="B130" s="29"/>
      <c r="C130" s="30"/>
      <c r="D130" s="28"/>
      <c r="E130" s="28"/>
      <c r="F130" s="50" t="s">
        <v>45</v>
      </c>
      <c r="G130" s="51">
        <v>150.0</v>
      </c>
      <c r="H130" s="43"/>
      <c r="I130" s="48"/>
      <c r="J130" s="38"/>
      <c r="K130" s="39">
        <f t="shared" si="10"/>
        <v>0</v>
      </c>
      <c r="L130" s="65" t="s">
        <v>46</v>
      </c>
      <c r="M130" s="25">
        <f>880+110+270+600+60+50+60+80</f>
        <v>2110</v>
      </c>
      <c r="N130" s="28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</row>
    <row r="131" ht="18.75" customHeight="1">
      <c r="A131" s="28"/>
      <c r="B131" s="29"/>
      <c r="C131" s="30"/>
      <c r="D131" s="28"/>
      <c r="E131" s="28"/>
      <c r="F131" s="52" t="s">
        <v>47</v>
      </c>
      <c r="G131" s="53"/>
      <c r="H131" s="54"/>
      <c r="I131" s="48"/>
      <c r="J131" s="38"/>
      <c r="K131" s="45">
        <f t="shared" si="10"/>
        <v>0</v>
      </c>
      <c r="L131" s="58" t="s">
        <v>48</v>
      </c>
      <c r="M131" s="34">
        <f>1200+2200</f>
        <v>3400</v>
      </c>
      <c r="N131" s="28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</row>
    <row r="132" ht="18.75" customHeight="1">
      <c r="A132" s="28"/>
      <c r="B132" s="29"/>
      <c r="C132" s="30"/>
      <c r="D132" s="28"/>
      <c r="E132" s="28"/>
      <c r="F132" s="52" t="s">
        <v>49</v>
      </c>
      <c r="G132" s="53"/>
      <c r="H132" s="48"/>
      <c r="I132" s="43"/>
      <c r="J132" s="38"/>
      <c r="K132" s="39"/>
      <c r="L132" s="58"/>
      <c r="M132" s="38"/>
      <c r="N132" s="28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</row>
    <row r="133" ht="18.75" customHeight="1">
      <c r="A133" s="28"/>
      <c r="B133" s="29"/>
      <c r="C133" s="30"/>
      <c r="D133" s="28"/>
      <c r="E133" s="28"/>
      <c r="F133" s="56"/>
      <c r="G133" s="38"/>
      <c r="H133" s="48"/>
      <c r="I133" s="43"/>
      <c r="J133" s="38"/>
      <c r="K133" s="39"/>
      <c r="L133" s="58"/>
      <c r="M133" s="38"/>
      <c r="N133" s="28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</row>
    <row r="134" ht="18.75" customHeight="1">
      <c r="A134" s="28"/>
      <c r="B134" s="29"/>
      <c r="C134" s="30"/>
      <c r="D134" s="28"/>
      <c r="E134" s="28"/>
      <c r="F134" s="56"/>
      <c r="G134" s="38"/>
      <c r="H134" s="48"/>
      <c r="I134" s="43"/>
      <c r="J134" s="38"/>
      <c r="K134" s="39"/>
      <c r="L134" s="58"/>
      <c r="M134" s="38"/>
      <c r="N134" s="28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</row>
    <row r="135" ht="18.75" customHeight="1">
      <c r="A135" s="28"/>
      <c r="B135" s="29"/>
      <c r="C135" s="30"/>
      <c r="D135" s="28"/>
      <c r="E135" s="59"/>
      <c r="F135" s="56"/>
      <c r="G135" s="38"/>
      <c r="H135" s="48"/>
      <c r="I135" s="43"/>
      <c r="J135" s="38"/>
      <c r="K135" s="39"/>
      <c r="L135" s="58"/>
      <c r="M135" s="38"/>
      <c r="N135" s="59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</row>
    <row r="136" ht="18.75" customHeight="1">
      <c r="A136" s="28"/>
      <c r="B136" s="29"/>
      <c r="C136" s="30"/>
      <c r="D136" s="28"/>
      <c r="E136" s="72">
        <f>N149</f>
        <v>301862</v>
      </c>
      <c r="F136" s="63"/>
      <c r="G136" s="9"/>
      <c r="H136" s="9"/>
      <c r="I136" s="43"/>
      <c r="J136" s="44"/>
      <c r="K136" s="64">
        <f>SUM(K125:K135)</f>
        <v>25900</v>
      </c>
      <c r="L136" s="65" t="s">
        <v>33</v>
      </c>
      <c r="M136" s="64">
        <f>SUM(M125:M135)</f>
        <v>15680</v>
      </c>
      <c r="N136" s="26">
        <f>N149+K136-M136</f>
        <v>312082</v>
      </c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</row>
    <row r="137" ht="84.75" customHeight="1">
      <c r="A137" s="59"/>
      <c r="B137" s="60"/>
      <c r="C137" s="61"/>
      <c r="D137" s="59"/>
      <c r="E137" s="52" t="s">
        <v>50</v>
      </c>
      <c r="F137" s="70" t="s">
        <v>65</v>
      </c>
      <c r="G137" s="2"/>
      <c r="H137" s="2"/>
      <c r="I137" s="2"/>
      <c r="J137" s="2"/>
      <c r="K137" s="2"/>
      <c r="L137" s="2"/>
      <c r="M137" s="2"/>
      <c r="N137" s="3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</row>
    <row r="138" ht="18.75" customHeight="1">
      <c r="A138" s="13">
        <v>1218.0</v>
      </c>
      <c r="B138" s="14">
        <v>46019.0</v>
      </c>
      <c r="C138" s="15"/>
      <c r="D138" s="16" t="s">
        <v>52</v>
      </c>
      <c r="E138" s="71" t="s">
        <v>15</v>
      </c>
      <c r="F138" s="40" t="s">
        <v>35</v>
      </c>
      <c r="G138" s="51">
        <v>200.0</v>
      </c>
      <c r="H138" s="66">
        <v>51.0</v>
      </c>
      <c r="I138" s="48"/>
      <c r="J138" s="38"/>
      <c r="K138" s="39">
        <f t="shared" ref="K138:K144" si="11">G138*H138</f>
        <v>10200</v>
      </c>
      <c r="L138" s="51" t="s">
        <v>36</v>
      </c>
      <c r="M138" s="39">
        <v>0.0</v>
      </c>
      <c r="N138" s="26">
        <f>K149-M149</f>
        <v>5930</v>
      </c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</row>
    <row r="139" ht="18.75" customHeight="1">
      <c r="A139" s="28"/>
      <c r="B139" s="29"/>
      <c r="C139" s="30"/>
      <c r="D139" s="28"/>
      <c r="E139" s="28"/>
      <c r="F139" s="67" t="s">
        <v>37</v>
      </c>
      <c r="G139" s="41">
        <v>150.0</v>
      </c>
      <c r="H139" s="42">
        <v>37.0</v>
      </c>
      <c r="I139" s="43"/>
      <c r="J139" s="44"/>
      <c r="K139" s="45">
        <f t="shared" si="11"/>
        <v>5550</v>
      </c>
      <c r="L139" s="41" t="s">
        <v>38</v>
      </c>
      <c r="M139" s="45">
        <v>200.0</v>
      </c>
      <c r="N139" s="35" t="s">
        <v>20</v>
      </c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 ht="18.75" customHeight="1">
      <c r="A140" s="28"/>
      <c r="B140" s="29"/>
      <c r="C140" s="30"/>
      <c r="D140" s="28"/>
      <c r="E140" s="28"/>
      <c r="F140" s="68" t="s">
        <v>39</v>
      </c>
      <c r="G140" s="51">
        <v>150.0</v>
      </c>
      <c r="H140" s="42"/>
      <c r="I140" s="48"/>
      <c r="J140" s="38"/>
      <c r="K140" s="39">
        <f t="shared" si="11"/>
        <v>0</v>
      </c>
      <c r="L140" s="58" t="s">
        <v>40</v>
      </c>
      <c r="M140" s="25">
        <v>300.0</v>
      </c>
      <c r="N140" s="28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</row>
    <row r="141" ht="18.75" customHeight="1">
      <c r="A141" s="28"/>
      <c r="B141" s="29"/>
      <c r="C141" s="30"/>
      <c r="D141" s="28"/>
      <c r="E141" s="28"/>
      <c r="F141" s="40" t="s">
        <v>41</v>
      </c>
      <c r="G141" s="41">
        <v>100.0</v>
      </c>
      <c r="H141" s="42"/>
      <c r="I141" s="43"/>
      <c r="J141" s="44"/>
      <c r="K141" s="45">
        <f t="shared" si="11"/>
        <v>0</v>
      </c>
      <c r="L141" s="65" t="s">
        <v>42</v>
      </c>
      <c r="M141" s="34">
        <v>4000.0</v>
      </c>
      <c r="N141" s="28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</row>
    <row r="142" ht="18.75" customHeight="1">
      <c r="A142" s="28"/>
      <c r="B142" s="29"/>
      <c r="C142" s="30"/>
      <c r="D142" s="28"/>
      <c r="E142" s="28"/>
      <c r="F142" s="47" t="s">
        <v>43</v>
      </c>
      <c r="G142" s="41">
        <v>200.0</v>
      </c>
      <c r="H142" s="43"/>
      <c r="I142" s="48"/>
      <c r="J142" s="38"/>
      <c r="K142" s="39">
        <f t="shared" si="11"/>
        <v>0</v>
      </c>
      <c r="L142" s="58" t="s">
        <v>44</v>
      </c>
      <c r="M142" s="34">
        <v>2880.0</v>
      </c>
      <c r="N142" s="28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</row>
    <row r="143" ht="18.75" customHeight="1">
      <c r="A143" s="28"/>
      <c r="B143" s="29"/>
      <c r="C143" s="30"/>
      <c r="D143" s="28"/>
      <c r="E143" s="28"/>
      <c r="F143" s="50" t="s">
        <v>45</v>
      </c>
      <c r="G143" s="51">
        <v>150.0</v>
      </c>
      <c r="H143" s="43"/>
      <c r="I143" s="48"/>
      <c r="J143" s="38"/>
      <c r="K143" s="39">
        <f t="shared" si="11"/>
        <v>0</v>
      </c>
      <c r="L143" s="65" t="s">
        <v>46</v>
      </c>
      <c r="M143" s="25">
        <f>880+110+270+600+60+50+120+260+90</f>
        <v>2440</v>
      </c>
      <c r="N143" s="28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</row>
    <row r="144" ht="18.75" customHeight="1">
      <c r="A144" s="28"/>
      <c r="B144" s="29"/>
      <c r="C144" s="30"/>
      <c r="D144" s="28"/>
      <c r="E144" s="28"/>
      <c r="F144" s="52" t="s">
        <v>47</v>
      </c>
      <c r="G144" s="53"/>
      <c r="H144" s="54"/>
      <c r="I144" s="48"/>
      <c r="J144" s="38"/>
      <c r="K144" s="45">
        <f t="shared" si="11"/>
        <v>0</v>
      </c>
      <c r="L144" s="58" t="s">
        <v>48</v>
      </c>
      <c r="M144" s="34"/>
      <c r="N144" s="28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</row>
    <row r="145" ht="18.75" customHeight="1">
      <c r="A145" s="28"/>
      <c r="B145" s="29"/>
      <c r="C145" s="30"/>
      <c r="D145" s="28"/>
      <c r="E145" s="28"/>
      <c r="F145" s="52" t="s">
        <v>49</v>
      </c>
      <c r="G145" s="53"/>
      <c r="H145" s="48"/>
      <c r="I145" s="43"/>
      <c r="J145" s="38"/>
      <c r="K145" s="39"/>
      <c r="L145" s="58"/>
      <c r="M145" s="38"/>
      <c r="N145" s="28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 ht="18.75" customHeight="1">
      <c r="A146" s="28"/>
      <c r="B146" s="29"/>
      <c r="C146" s="30"/>
      <c r="D146" s="28"/>
      <c r="E146" s="28"/>
      <c r="F146" s="56"/>
      <c r="G146" s="38"/>
      <c r="H146" s="48"/>
      <c r="I146" s="43"/>
      <c r="J146" s="38"/>
      <c r="K146" s="39"/>
      <c r="L146" s="58"/>
      <c r="M146" s="38"/>
      <c r="N146" s="28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 ht="18.75" customHeight="1">
      <c r="A147" s="28"/>
      <c r="B147" s="29"/>
      <c r="C147" s="30"/>
      <c r="D147" s="28"/>
      <c r="E147" s="28"/>
      <c r="F147" s="56"/>
      <c r="G147" s="38"/>
      <c r="H147" s="48"/>
      <c r="I147" s="43"/>
      <c r="J147" s="38"/>
      <c r="K147" s="39"/>
      <c r="L147" s="58"/>
      <c r="M147" s="38"/>
      <c r="N147" s="28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</row>
    <row r="148" ht="18.75" customHeight="1">
      <c r="A148" s="28"/>
      <c r="B148" s="29"/>
      <c r="C148" s="30"/>
      <c r="D148" s="28"/>
      <c r="E148" s="59"/>
      <c r="F148" s="56"/>
      <c r="G148" s="38"/>
      <c r="H148" s="48"/>
      <c r="I148" s="43"/>
      <c r="J148" s="38"/>
      <c r="K148" s="39"/>
      <c r="L148" s="58"/>
      <c r="M148" s="38"/>
      <c r="N148" s="59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ht="18.75" customHeight="1">
      <c r="A149" s="28"/>
      <c r="B149" s="29"/>
      <c r="C149" s="30"/>
      <c r="D149" s="28"/>
      <c r="E149" s="72">
        <f>N162</f>
        <v>295932</v>
      </c>
      <c r="F149" s="63"/>
      <c r="G149" s="9"/>
      <c r="H149" s="9"/>
      <c r="I149" s="43"/>
      <c r="J149" s="44"/>
      <c r="K149" s="64">
        <f>SUM(K138:K148)</f>
        <v>15750</v>
      </c>
      <c r="L149" s="65" t="s">
        <v>33</v>
      </c>
      <c r="M149" s="64">
        <f>SUM(M138:M148)</f>
        <v>9820</v>
      </c>
      <c r="N149" s="26">
        <f>N162+K149-M149</f>
        <v>301862</v>
      </c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</row>
    <row r="150" ht="72.75" customHeight="1">
      <c r="A150" s="59"/>
      <c r="B150" s="60"/>
      <c r="C150" s="61"/>
      <c r="D150" s="59"/>
      <c r="E150" s="52" t="s">
        <v>50</v>
      </c>
      <c r="F150" s="70" t="s">
        <v>66</v>
      </c>
      <c r="G150" s="2"/>
      <c r="H150" s="2"/>
      <c r="I150" s="2"/>
      <c r="J150" s="2"/>
      <c r="K150" s="2"/>
      <c r="L150" s="2"/>
      <c r="M150" s="2"/>
      <c r="N150" s="3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</row>
    <row r="151" ht="18.75" customHeight="1">
      <c r="A151" s="13">
        <v>1217.0</v>
      </c>
      <c r="B151" s="14">
        <v>46011.0</v>
      </c>
      <c r="C151" s="15"/>
      <c r="D151" s="16" t="s">
        <v>67</v>
      </c>
      <c r="E151" s="71" t="s">
        <v>15</v>
      </c>
      <c r="F151" s="40" t="s">
        <v>35</v>
      </c>
      <c r="G151" s="51">
        <v>200.0</v>
      </c>
      <c r="H151" s="66">
        <v>80.0</v>
      </c>
      <c r="I151" s="48"/>
      <c r="J151" s="38"/>
      <c r="K151" s="39">
        <f t="shared" ref="K151:K157" si="12">G151*H151</f>
        <v>16000</v>
      </c>
      <c r="L151" s="51" t="s">
        <v>36</v>
      </c>
      <c r="M151" s="39">
        <v>0.0</v>
      </c>
      <c r="N151" s="26">
        <f>K162-M162</f>
        <v>10660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</row>
    <row r="152" ht="18.75" customHeight="1">
      <c r="A152" s="28"/>
      <c r="B152" s="29"/>
      <c r="C152" s="30"/>
      <c r="D152" s="28"/>
      <c r="E152" s="28"/>
      <c r="F152" s="67" t="s">
        <v>37</v>
      </c>
      <c r="G152" s="41">
        <v>150.0</v>
      </c>
      <c r="H152" s="42">
        <v>53.0</v>
      </c>
      <c r="I152" s="43"/>
      <c r="J152" s="44"/>
      <c r="K152" s="45">
        <f t="shared" si="12"/>
        <v>7950</v>
      </c>
      <c r="L152" s="41" t="s">
        <v>38</v>
      </c>
      <c r="M152" s="45">
        <v>200.0</v>
      </c>
      <c r="N152" s="35" t="s">
        <v>20</v>
      </c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</row>
    <row r="153" ht="18.75" customHeight="1">
      <c r="A153" s="28"/>
      <c r="B153" s="29"/>
      <c r="C153" s="30"/>
      <c r="D153" s="28"/>
      <c r="E153" s="28"/>
      <c r="F153" s="68" t="s">
        <v>39</v>
      </c>
      <c r="G153" s="51">
        <v>150.0</v>
      </c>
      <c r="H153" s="42"/>
      <c r="I153" s="48"/>
      <c r="J153" s="38"/>
      <c r="K153" s="39">
        <f t="shared" si="12"/>
        <v>0</v>
      </c>
      <c r="L153" s="58" t="s">
        <v>40</v>
      </c>
      <c r="M153" s="25">
        <v>350.0</v>
      </c>
      <c r="N153" s="28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</row>
    <row r="154" ht="18.75" customHeight="1">
      <c r="A154" s="28"/>
      <c r="B154" s="29"/>
      <c r="C154" s="30"/>
      <c r="D154" s="28"/>
      <c r="E154" s="28"/>
      <c r="F154" s="40" t="s">
        <v>41</v>
      </c>
      <c r="G154" s="41">
        <v>100.0</v>
      </c>
      <c r="H154" s="42">
        <v>5.0</v>
      </c>
      <c r="I154" s="43"/>
      <c r="J154" s="44"/>
      <c r="K154" s="45">
        <f t="shared" si="12"/>
        <v>500</v>
      </c>
      <c r="L154" s="65" t="s">
        <v>42</v>
      </c>
      <c r="M154" s="34">
        <v>3500.0</v>
      </c>
      <c r="N154" s="28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</row>
    <row r="155" ht="18.75" customHeight="1">
      <c r="A155" s="28"/>
      <c r="B155" s="29"/>
      <c r="C155" s="30"/>
      <c r="D155" s="28"/>
      <c r="E155" s="28"/>
      <c r="F155" s="47" t="s">
        <v>43</v>
      </c>
      <c r="G155" s="41">
        <v>200.0</v>
      </c>
      <c r="H155" s="43"/>
      <c r="I155" s="48"/>
      <c r="J155" s="38"/>
      <c r="K155" s="39">
        <f t="shared" si="12"/>
        <v>0</v>
      </c>
      <c r="L155" s="58" t="s">
        <v>44</v>
      </c>
      <c r="M155" s="34">
        <v>6710.0</v>
      </c>
      <c r="N155" s="28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</row>
    <row r="156" ht="18.75" customHeight="1">
      <c r="A156" s="28"/>
      <c r="B156" s="29"/>
      <c r="C156" s="30"/>
      <c r="D156" s="28"/>
      <c r="E156" s="28"/>
      <c r="F156" s="50" t="s">
        <v>45</v>
      </c>
      <c r="G156" s="51">
        <v>150.0</v>
      </c>
      <c r="H156" s="43"/>
      <c r="I156" s="48"/>
      <c r="J156" s="38"/>
      <c r="K156" s="39">
        <f t="shared" si="12"/>
        <v>0</v>
      </c>
      <c r="L156" s="65" t="s">
        <v>46</v>
      </c>
      <c r="M156" s="25">
        <f>770+220+540+600+60+50+180+720</f>
        <v>3140</v>
      </c>
      <c r="N156" s="28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</row>
    <row r="157" ht="18.75" customHeight="1">
      <c r="A157" s="28"/>
      <c r="B157" s="29"/>
      <c r="C157" s="30"/>
      <c r="D157" s="28"/>
      <c r="E157" s="28"/>
      <c r="F157" s="73" t="s">
        <v>68</v>
      </c>
      <c r="G157" s="53">
        <v>110.0</v>
      </c>
      <c r="H157" s="54">
        <v>1.0</v>
      </c>
      <c r="I157" s="48"/>
      <c r="J157" s="38"/>
      <c r="K157" s="45">
        <f t="shared" si="12"/>
        <v>110</v>
      </c>
      <c r="L157" s="58" t="s">
        <v>48</v>
      </c>
      <c r="M157" s="34"/>
      <c r="N157" s="28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</row>
    <row r="158" ht="18.75" customHeight="1">
      <c r="A158" s="28"/>
      <c r="B158" s="29"/>
      <c r="C158" s="30"/>
      <c r="D158" s="28"/>
      <c r="E158" s="28"/>
      <c r="F158" s="52" t="s">
        <v>49</v>
      </c>
      <c r="G158" s="53"/>
      <c r="H158" s="48"/>
      <c r="I158" s="43"/>
      <c r="J158" s="38"/>
      <c r="K158" s="39"/>
      <c r="L158" s="58"/>
      <c r="M158" s="38"/>
      <c r="N158" s="28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</row>
    <row r="159" ht="18.75" customHeight="1">
      <c r="A159" s="28"/>
      <c r="B159" s="29"/>
      <c r="C159" s="30"/>
      <c r="D159" s="28"/>
      <c r="E159" s="28"/>
      <c r="F159" s="56"/>
      <c r="G159" s="38"/>
      <c r="H159" s="48"/>
      <c r="I159" s="43"/>
      <c r="J159" s="38"/>
      <c r="K159" s="39"/>
      <c r="L159" s="58"/>
      <c r="M159" s="38"/>
      <c r="N159" s="28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</row>
    <row r="160" ht="18.75" customHeight="1">
      <c r="A160" s="28"/>
      <c r="B160" s="29"/>
      <c r="C160" s="30"/>
      <c r="D160" s="28"/>
      <c r="E160" s="28"/>
      <c r="F160" s="56"/>
      <c r="G160" s="38"/>
      <c r="H160" s="48"/>
      <c r="I160" s="43"/>
      <c r="J160" s="38"/>
      <c r="K160" s="39"/>
      <c r="L160" s="58"/>
      <c r="M160" s="38"/>
      <c r="N160" s="28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</row>
    <row r="161" ht="18.75" customHeight="1">
      <c r="A161" s="28"/>
      <c r="B161" s="29"/>
      <c r="C161" s="30"/>
      <c r="D161" s="28"/>
      <c r="E161" s="59"/>
      <c r="F161" s="56"/>
      <c r="G161" s="38"/>
      <c r="H161" s="48"/>
      <c r="I161" s="43"/>
      <c r="J161" s="38"/>
      <c r="K161" s="39"/>
      <c r="L161" s="58"/>
      <c r="M161" s="38"/>
      <c r="N161" s="59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</row>
    <row r="162" ht="18.75" customHeight="1">
      <c r="A162" s="28"/>
      <c r="B162" s="29"/>
      <c r="C162" s="30"/>
      <c r="D162" s="28"/>
      <c r="E162" s="72">
        <f>N175</f>
        <v>285272</v>
      </c>
      <c r="F162" s="63"/>
      <c r="G162" s="9"/>
      <c r="H162" s="9"/>
      <c r="I162" s="43"/>
      <c r="J162" s="44"/>
      <c r="K162" s="64">
        <f>SUM(K151:K161)</f>
        <v>24560</v>
      </c>
      <c r="L162" s="65" t="s">
        <v>33</v>
      </c>
      <c r="M162" s="64">
        <f>SUM(M151:M161)</f>
        <v>13900</v>
      </c>
      <c r="N162" s="26">
        <f>N175+K162-M162</f>
        <v>295932</v>
      </c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</row>
    <row r="163" ht="59.25" customHeight="1">
      <c r="A163" s="59"/>
      <c r="B163" s="60"/>
      <c r="C163" s="61"/>
      <c r="D163" s="59"/>
      <c r="E163" s="52" t="s">
        <v>50</v>
      </c>
      <c r="F163" s="70" t="s">
        <v>69</v>
      </c>
      <c r="G163" s="2"/>
      <c r="H163" s="2"/>
      <c r="I163" s="2"/>
      <c r="J163" s="2"/>
      <c r="K163" s="2"/>
      <c r="L163" s="2"/>
      <c r="M163" s="2"/>
      <c r="N163" s="3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</row>
    <row r="164" ht="18.75" customHeight="1">
      <c r="A164" s="13">
        <v>1216.0</v>
      </c>
      <c r="B164" s="14">
        <v>46004.0</v>
      </c>
      <c r="C164" s="15"/>
      <c r="D164" s="16" t="s">
        <v>70</v>
      </c>
      <c r="E164" s="71" t="s">
        <v>15</v>
      </c>
      <c r="F164" s="40" t="s">
        <v>35</v>
      </c>
      <c r="G164" s="51">
        <v>200.0</v>
      </c>
      <c r="H164" s="66">
        <v>75.0</v>
      </c>
      <c r="I164" s="48"/>
      <c r="J164" s="38"/>
      <c r="K164" s="39">
        <f t="shared" ref="K164:K170" si="13">G164*H164</f>
        <v>15000</v>
      </c>
      <c r="L164" s="51" t="s">
        <v>36</v>
      </c>
      <c r="M164" s="39">
        <v>0.0</v>
      </c>
      <c r="N164" s="26">
        <f>K175-M175</f>
        <v>4965</v>
      </c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</row>
    <row r="165" ht="18.75" customHeight="1">
      <c r="A165" s="28"/>
      <c r="B165" s="29"/>
      <c r="C165" s="30"/>
      <c r="D165" s="28"/>
      <c r="E165" s="28"/>
      <c r="F165" s="67" t="s">
        <v>37</v>
      </c>
      <c r="G165" s="41">
        <v>150.0</v>
      </c>
      <c r="H165" s="42">
        <v>57.0</v>
      </c>
      <c r="I165" s="43"/>
      <c r="J165" s="44"/>
      <c r="K165" s="45">
        <f t="shared" si="13"/>
        <v>8550</v>
      </c>
      <c r="L165" s="41" t="s">
        <v>38</v>
      </c>
      <c r="M165" s="45">
        <v>200.0</v>
      </c>
      <c r="N165" s="35" t="s">
        <v>20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</row>
    <row r="166" ht="18.75" customHeight="1">
      <c r="A166" s="28"/>
      <c r="B166" s="29"/>
      <c r="C166" s="30"/>
      <c r="D166" s="28"/>
      <c r="E166" s="28"/>
      <c r="F166" s="68" t="s">
        <v>39</v>
      </c>
      <c r="G166" s="51">
        <v>150.0</v>
      </c>
      <c r="H166" s="42"/>
      <c r="I166" s="48"/>
      <c r="J166" s="38"/>
      <c r="K166" s="39">
        <f t="shared" si="13"/>
        <v>0</v>
      </c>
      <c r="L166" s="58" t="s">
        <v>40</v>
      </c>
      <c r="M166" s="25">
        <v>800.0</v>
      </c>
      <c r="N166" s="28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</row>
    <row r="167" ht="18.75" customHeight="1">
      <c r="A167" s="28"/>
      <c r="B167" s="29"/>
      <c r="C167" s="30"/>
      <c r="D167" s="28"/>
      <c r="E167" s="28"/>
      <c r="F167" s="40" t="s">
        <v>41</v>
      </c>
      <c r="G167" s="41">
        <v>100.0</v>
      </c>
      <c r="H167" s="42"/>
      <c r="I167" s="43"/>
      <c r="J167" s="44"/>
      <c r="K167" s="45">
        <f t="shared" si="13"/>
        <v>0</v>
      </c>
      <c r="L167" s="65" t="s">
        <v>42</v>
      </c>
      <c r="M167" s="34">
        <v>3500.0</v>
      </c>
      <c r="N167" s="28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</row>
    <row r="168" ht="18.75" customHeight="1">
      <c r="A168" s="28"/>
      <c r="B168" s="29"/>
      <c r="C168" s="30"/>
      <c r="D168" s="28"/>
      <c r="E168" s="28"/>
      <c r="F168" s="47" t="s">
        <v>43</v>
      </c>
      <c r="G168" s="41">
        <v>200.0</v>
      </c>
      <c r="H168" s="43"/>
      <c r="I168" s="48"/>
      <c r="J168" s="38"/>
      <c r="K168" s="39">
        <f t="shared" si="13"/>
        <v>0</v>
      </c>
      <c r="L168" s="58" t="s">
        <v>44</v>
      </c>
      <c r="M168" s="34">
        <v>7290.0</v>
      </c>
      <c r="N168" s="28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</row>
    <row r="169" ht="18.75" customHeight="1">
      <c r="A169" s="28"/>
      <c r="B169" s="29"/>
      <c r="C169" s="30"/>
      <c r="D169" s="28"/>
      <c r="E169" s="28"/>
      <c r="F169" s="50" t="s">
        <v>45</v>
      </c>
      <c r="G169" s="51">
        <v>150.0</v>
      </c>
      <c r="H169" s="43"/>
      <c r="I169" s="48"/>
      <c r="J169" s="38"/>
      <c r="K169" s="39">
        <f t="shared" si="13"/>
        <v>0</v>
      </c>
      <c r="L169" s="65" t="s">
        <v>46</v>
      </c>
      <c r="M169" s="25">
        <f>1100+110+270+600+60+50+300</f>
        <v>2490</v>
      </c>
      <c r="N169" s="28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 ht="18.75" customHeight="1">
      <c r="A170" s="28"/>
      <c r="B170" s="29"/>
      <c r="C170" s="30"/>
      <c r="D170" s="28"/>
      <c r="E170" s="28"/>
      <c r="F170" s="74" t="s">
        <v>71</v>
      </c>
      <c r="G170" s="53"/>
      <c r="H170" s="54"/>
      <c r="I170" s="48"/>
      <c r="J170" s="38"/>
      <c r="K170" s="45">
        <f t="shared" si="13"/>
        <v>0</v>
      </c>
      <c r="L170" s="58" t="s">
        <v>48</v>
      </c>
      <c r="M170" s="34">
        <f>1200+1200+240+50+1315+300</f>
        <v>4305</v>
      </c>
      <c r="N170" s="28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</row>
    <row r="171" ht="18.75" customHeight="1">
      <c r="A171" s="28"/>
      <c r="B171" s="29"/>
      <c r="C171" s="30"/>
      <c r="D171" s="28"/>
      <c r="E171" s="28"/>
      <c r="F171" s="74" t="s">
        <v>72</v>
      </c>
      <c r="G171" s="38"/>
      <c r="H171" s="48"/>
      <c r="I171" s="43"/>
      <c r="J171" s="38"/>
      <c r="K171" s="39"/>
      <c r="L171" s="58"/>
      <c r="M171" s="38"/>
      <c r="N171" s="28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</row>
    <row r="172" ht="18.75" customHeight="1">
      <c r="A172" s="28"/>
      <c r="B172" s="29"/>
      <c r="C172" s="30"/>
      <c r="D172" s="28"/>
      <c r="E172" s="28"/>
      <c r="F172" s="56" t="s">
        <v>73</v>
      </c>
      <c r="G172" s="38"/>
      <c r="H172" s="48"/>
      <c r="I172" s="43"/>
      <c r="J172" s="38"/>
      <c r="K172" s="39"/>
      <c r="L172" s="58"/>
      <c r="M172" s="38"/>
      <c r="N172" s="28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</row>
    <row r="173" ht="18.75" customHeight="1">
      <c r="A173" s="28"/>
      <c r="B173" s="29"/>
      <c r="C173" s="30"/>
      <c r="D173" s="28"/>
      <c r="E173" s="28"/>
      <c r="F173" s="56" t="s">
        <v>74</v>
      </c>
      <c r="G173" s="38"/>
      <c r="H173" s="48"/>
      <c r="I173" s="43"/>
      <c r="J173" s="38"/>
      <c r="K173" s="39"/>
      <c r="L173" s="58"/>
      <c r="M173" s="38"/>
      <c r="N173" s="28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</row>
    <row r="174" ht="18.75" customHeight="1">
      <c r="A174" s="28"/>
      <c r="B174" s="29"/>
      <c r="C174" s="30"/>
      <c r="D174" s="28"/>
      <c r="E174" s="59"/>
      <c r="F174" s="56" t="s">
        <v>75</v>
      </c>
      <c r="G174" s="38"/>
      <c r="H174" s="48"/>
      <c r="I174" s="43"/>
      <c r="J174" s="38"/>
      <c r="K174" s="39"/>
      <c r="L174" s="58"/>
      <c r="M174" s="38"/>
      <c r="N174" s="59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</row>
    <row r="175" ht="18.75" customHeight="1">
      <c r="A175" s="28"/>
      <c r="B175" s="29"/>
      <c r="C175" s="30"/>
      <c r="D175" s="28"/>
      <c r="E175" s="72">
        <f>N185</f>
        <v>280307</v>
      </c>
      <c r="F175" s="63"/>
      <c r="G175" s="9"/>
      <c r="H175" s="9"/>
      <c r="I175" s="43"/>
      <c r="J175" s="44"/>
      <c r="K175" s="64">
        <f>SUM(K164:K174)</f>
        <v>23550</v>
      </c>
      <c r="L175" s="65" t="s">
        <v>33</v>
      </c>
      <c r="M175" s="64">
        <f>SUM(M164:M174)</f>
        <v>18585</v>
      </c>
      <c r="N175" s="26">
        <f>N185+K175-M175</f>
        <v>285272</v>
      </c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</row>
    <row r="176" ht="91.5" customHeight="1">
      <c r="A176" s="59"/>
      <c r="B176" s="60"/>
      <c r="C176" s="61"/>
      <c r="D176" s="59"/>
      <c r="E176" s="52" t="s">
        <v>50</v>
      </c>
      <c r="F176" s="70" t="s">
        <v>76</v>
      </c>
      <c r="G176" s="2"/>
      <c r="H176" s="2"/>
      <c r="I176" s="2"/>
      <c r="J176" s="2"/>
      <c r="K176" s="2"/>
      <c r="L176" s="2"/>
      <c r="M176" s="2"/>
      <c r="N176" s="3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</row>
    <row r="177" ht="18.75" customHeight="1">
      <c r="A177" s="13">
        <v>1215.0</v>
      </c>
      <c r="B177" s="14">
        <v>45997.0</v>
      </c>
      <c r="C177" s="15"/>
      <c r="D177" s="16" t="s">
        <v>77</v>
      </c>
      <c r="E177" s="71" t="s">
        <v>15</v>
      </c>
      <c r="F177" s="40" t="s">
        <v>35</v>
      </c>
      <c r="G177" s="51">
        <v>200.0</v>
      </c>
      <c r="H177" s="66">
        <v>92.0</v>
      </c>
      <c r="I177" s="48"/>
      <c r="J177" s="38"/>
      <c r="K177" s="39">
        <f t="shared" ref="K177:K184" si="14">G177*H177</f>
        <v>18400</v>
      </c>
      <c r="L177" s="51" t="s">
        <v>36</v>
      </c>
      <c r="M177" s="39">
        <v>0.0</v>
      </c>
      <c r="N177" s="26">
        <f>K185-M185</f>
        <v>8570</v>
      </c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</row>
    <row r="178" ht="18.75" customHeight="1">
      <c r="A178" s="28"/>
      <c r="B178" s="29"/>
      <c r="C178" s="30"/>
      <c r="D178" s="28"/>
      <c r="E178" s="28"/>
      <c r="F178" s="67" t="s">
        <v>37</v>
      </c>
      <c r="G178" s="41">
        <v>150.0</v>
      </c>
      <c r="H178" s="42">
        <v>58.0</v>
      </c>
      <c r="I178" s="43"/>
      <c r="J178" s="44"/>
      <c r="K178" s="45">
        <f t="shared" si="14"/>
        <v>8700</v>
      </c>
      <c r="L178" s="41" t="s">
        <v>38</v>
      </c>
      <c r="M178" s="45">
        <v>200.0</v>
      </c>
      <c r="N178" s="35" t="s">
        <v>20</v>
      </c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</row>
    <row r="179" ht="18.75" customHeight="1">
      <c r="A179" s="28"/>
      <c r="B179" s="29"/>
      <c r="C179" s="30"/>
      <c r="D179" s="28"/>
      <c r="E179" s="28"/>
      <c r="F179" s="68" t="s">
        <v>39</v>
      </c>
      <c r="G179" s="51">
        <v>150.0</v>
      </c>
      <c r="H179" s="42">
        <v>1.0</v>
      </c>
      <c r="I179" s="48"/>
      <c r="J179" s="38"/>
      <c r="K179" s="39">
        <f t="shared" si="14"/>
        <v>150</v>
      </c>
      <c r="L179" s="58" t="s">
        <v>40</v>
      </c>
      <c r="M179" s="25">
        <v>350.0</v>
      </c>
      <c r="N179" s="28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</row>
    <row r="180" ht="18.75" customHeight="1">
      <c r="A180" s="28"/>
      <c r="B180" s="29"/>
      <c r="C180" s="30"/>
      <c r="D180" s="28"/>
      <c r="E180" s="28"/>
      <c r="F180" s="40" t="s">
        <v>41</v>
      </c>
      <c r="G180" s="41">
        <v>100.0</v>
      </c>
      <c r="H180" s="42">
        <v>1.0</v>
      </c>
      <c r="I180" s="43"/>
      <c r="J180" s="44"/>
      <c r="K180" s="45">
        <f t="shared" si="14"/>
        <v>100</v>
      </c>
      <c r="L180" s="65" t="s">
        <v>42</v>
      </c>
      <c r="M180" s="34">
        <v>3500.0</v>
      </c>
      <c r="N180" s="28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</row>
    <row r="181" ht="18.75" customHeight="1">
      <c r="A181" s="28"/>
      <c r="B181" s="29"/>
      <c r="C181" s="30"/>
      <c r="D181" s="28"/>
      <c r="E181" s="28"/>
      <c r="F181" s="47" t="s">
        <v>43</v>
      </c>
      <c r="G181" s="41">
        <v>200.0</v>
      </c>
      <c r="H181" s="43"/>
      <c r="I181" s="48"/>
      <c r="J181" s="38"/>
      <c r="K181" s="39">
        <f t="shared" si="14"/>
        <v>0</v>
      </c>
      <c r="L181" s="58" t="s">
        <v>44</v>
      </c>
      <c r="M181" s="25">
        <f>8250</f>
        <v>8250</v>
      </c>
      <c r="N181" s="28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</row>
    <row r="182" ht="18.75" customHeight="1">
      <c r="A182" s="28"/>
      <c r="B182" s="29"/>
      <c r="C182" s="30"/>
      <c r="D182" s="28"/>
      <c r="E182" s="28"/>
      <c r="F182" s="50" t="s">
        <v>45</v>
      </c>
      <c r="G182" s="51">
        <v>150.0</v>
      </c>
      <c r="H182" s="43"/>
      <c r="I182" s="48"/>
      <c r="J182" s="38"/>
      <c r="K182" s="39">
        <f t="shared" si="14"/>
        <v>0</v>
      </c>
      <c r="L182" s="65" t="s">
        <v>46</v>
      </c>
      <c r="M182" s="45">
        <f>770+220+810+210+40+50+180</f>
        <v>2280</v>
      </c>
      <c r="N182" s="28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</row>
    <row r="183" ht="18.75" customHeight="1">
      <c r="A183" s="28"/>
      <c r="B183" s="29"/>
      <c r="C183" s="30"/>
      <c r="D183" s="28"/>
      <c r="E183" s="28"/>
      <c r="F183" s="52" t="s">
        <v>47</v>
      </c>
      <c r="G183" s="53"/>
      <c r="H183" s="54"/>
      <c r="I183" s="48"/>
      <c r="J183" s="38"/>
      <c r="K183" s="45">
        <f t="shared" si="14"/>
        <v>0</v>
      </c>
      <c r="L183" s="58" t="s">
        <v>48</v>
      </c>
      <c r="M183" s="34">
        <f>2200+2000</f>
        <v>4200</v>
      </c>
      <c r="N183" s="28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</row>
    <row r="184" ht="18.75" customHeight="1">
      <c r="A184" s="28"/>
      <c r="B184" s="29"/>
      <c r="C184" s="30"/>
      <c r="D184" s="28"/>
      <c r="E184" s="59"/>
      <c r="F184" s="63" t="s">
        <v>49</v>
      </c>
      <c r="G184" s="38"/>
      <c r="H184" s="48"/>
      <c r="I184" s="43"/>
      <c r="J184" s="38"/>
      <c r="K184" s="39">
        <f t="shared" si="14"/>
        <v>0</v>
      </c>
      <c r="L184" s="58" t="s">
        <v>78</v>
      </c>
      <c r="M184" s="38"/>
      <c r="N184" s="59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</row>
    <row r="185" ht="18.75" customHeight="1">
      <c r="A185" s="28"/>
      <c r="B185" s="29"/>
      <c r="C185" s="30"/>
      <c r="D185" s="28"/>
      <c r="E185" s="72">
        <f>N195</f>
        <v>271737</v>
      </c>
      <c r="F185" s="63"/>
      <c r="G185" s="9"/>
      <c r="H185" s="9"/>
      <c r="I185" s="43"/>
      <c r="J185" s="44"/>
      <c r="K185" s="64">
        <f>SUM(K177:K184)</f>
        <v>27350</v>
      </c>
      <c r="L185" s="65" t="s">
        <v>33</v>
      </c>
      <c r="M185" s="64">
        <f>SUM(M177:M184)</f>
        <v>18780</v>
      </c>
      <c r="N185" s="26">
        <f>N195+K185-M185</f>
        <v>280307</v>
      </c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 ht="75.75" customHeight="1">
      <c r="A186" s="59"/>
      <c r="B186" s="60"/>
      <c r="C186" s="61"/>
      <c r="D186" s="59"/>
      <c r="E186" s="52" t="s">
        <v>50</v>
      </c>
      <c r="F186" s="70" t="s">
        <v>79</v>
      </c>
      <c r="G186" s="2"/>
      <c r="H186" s="2"/>
      <c r="I186" s="2"/>
      <c r="J186" s="2"/>
      <c r="K186" s="2"/>
      <c r="L186" s="2"/>
      <c r="M186" s="2"/>
      <c r="N186" s="3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</row>
    <row r="187" ht="18.75" customHeight="1">
      <c r="A187" s="13">
        <v>1214.0</v>
      </c>
      <c r="B187" s="14">
        <v>45990.0</v>
      </c>
      <c r="C187" s="15"/>
      <c r="D187" s="16" t="s">
        <v>80</v>
      </c>
      <c r="E187" s="71" t="s">
        <v>15</v>
      </c>
      <c r="F187" s="40" t="s">
        <v>35</v>
      </c>
      <c r="G187" s="51">
        <v>200.0</v>
      </c>
      <c r="H187" s="66">
        <v>60.0</v>
      </c>
      <c r="I187" s="48"/>
      <c r="J187" s="38"/>
      <c r="K187" s="39">
        <f t="shared" ref="K187:K194" si="15">G187*H187</f>
        <v>12000</v>
      </c>
      <c r="L187" s="51" t="s">
        <v>36</v>
      </c>
      <c r="M187" s="39">
        <v>0.0</v>
      </c>
      <c r="N187" s="26">
        <f>K195-M195</f>
        <v>5710</v>
      </c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</row>
    <row r="188" ht="18.75" customHeight="1">
      <c r="A188" s="28"/>
      <c r="B188" s="29"/>
      <c r="C188" s="30"/>
      <c r="D188" s="28"/>
      <c r="E188" s="28"/>
      <c r="F188" s="67" t="s">
        <v>37</v>
      </c>
      <c r="G188" s="41">
        <v>150.0</v>
      </c>
      <c r="H188" s="42">
        <v>37.0</v>
      </c>
      <c r="I188" s="43"/>
      <c r="J188" s="44"/>
      <c r="K188" s="45">
        <f t="shared" si="15"/>
        <v>5550</v>
      </c>
      <c r="L188" s="41" t="s">
        <v>38</v>
      </c>
      <c r="M188" s="45">
        <v>200.0</v>
      </c>
      <c r="N188" s="35" t="s">
        <v>20</v>
      </c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</row>
    <row r="189" ht="18.75" customHeight="1">
      <c r="A189" s="28"/>
      <c r="B189" s="29"/>
      <c r="C189" s="30"/>
      <c r="D189" s="28"/>
      <c r="E189" s="28"/>
      <c r="F189" s="68" t="s">
        <v>39</v>
      </c>
      <c r="G189" s="51">
        <v>150.0</v>
      </c>
      <c r="H189" s="42"/>
      <c r="I189" s="48"/>
      <c r="J189" s="38"/>
      <c r="K189" s="39">
        <f t="shared" si="15"/>
        <v>0</v>
      </c>
      <c r="L189" s="58" t="s">
        <v>40</v>
      </c>
      <c r="M189" s="25">
        <v>400.0</v>
      </c>
      <c r="N189" s="28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</row>
    <row r="190" ht="18.75" customHeight="1">
      <c r="A190" s="28"/>
      <c r="B190" s="29"/>
      <c r="C190" s="30"/>
      <c r="D190" s="28"/>
      <c r="E190" s="28"/>
      <c r="F190" s="40" t="s">
        <v>41</v>
      </c>
      <c r="G190" s="41">
        <v>100.0</v>
      </c>
      <c r="H190" s="42">
        <v>3.0</v>
      </c>
      <c r="I190" s="43"/>
      <c r="J190" s="44"/>
      <c r="K190" s="45">
        <f t="shared" si="15"/>
        <v>300</v>
      </c>
      <c r="L190" s="65" t="s">
        <v>42</v>
      </c>
      <c r="M190" s="34">
        <v>3500.0</v>
      </c>
      <c r="N190" s="28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</row>
    <row r="191" ht="18.75" customHeight="1">
      <c r="A191" s="28"/>
      <c r="B191" s="29"/>
      <c r="C191" s="30"/>
      <c r="D191" s="28"/>
      <c r="E191" s="28"/>
      <c r="F191" s="47" t="s">
        <v>43</v>
      </c>
      <c r="G191" s="41">
        <v>200.0</v>
      </c>
      <c r="H191" s="43"/>
      <c r="I191" s="48"/>
      <c r="J191" s="38"/>
      <c r="K191" s="39">
        <f t="shared" si="15"/>
        <v>0</v>
      </c>
      <c r="L191" s="58" t="s">
        <v>44</v>
      </c>
      <c r="M191" s="25">
        <f>4780</f>
        <v>4780</v>
      </c>
      <c r="N191" s="28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</row>
    <row r="192" ht="18.75" customHeight="1">
      <c r="A192" s="28"/>
      <c r="B192" s="29"/>
      <c r="C192" s="30"/>
      <c r="D192" s="28"/>
      <c r="E192" s="28"/>
      <c r="F192" s="50" t="s">
        <v>45</v>
      </c>
      <c r="G192" s="51">
        <v>150.0</v>
      </c>
      <c r="H192" s="43"/>
      <c r="I192" s="48"/>
      <c r="J192" s="38"/>
      <c r="K192" s="39">
        <f t="shared" si="15"/>
        <v>0</v>
      </c>
      <c r="L192" s="65" t="s">
        <v>46</v>
      </c>
      <c r="M192" s="45">
        <f>660+540+220+210+40+50+300+300+95+45</f>
        <v>2460</v>
      </c>
      <c r="N192" s="28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</row>
    <row r="193" ht="18.75" customHeight="1">
      <c r="A193" s="28"/>
      <c r="B193" s="29"/>
      <c r="C193" s="30"/>
      <c r="D193" s="28"/>
      <c r="E193" s="28"/>
      <c r="F193" s="52" t="s">
        <v>47</v>
      </c>
      <c r="G193" s="53"/>
      <c r="H193" s="54"/>
      <c r="I193" s="48"/>
      <c r="J193" s="38"/>
      <c r="K193" s="45">
        <f t="shared" si="15"/>
        <v>0</v>
      </c>
      <c r="L193" s="58" t="s">
        <v>48</v>
      </c>
      <c r="M193" s="34">
        <v>800.0</v>
      </c>
      <c r="N193" s="28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</row>
    <row r="194" ht="18.75" customHeight="1">
      <c r="A194" s="28"/>
      <c r="B194" s="29"/>
      <c r="C194" s="30"/>
      <c r="D194" s="28"/>
      <c r="E194" s="59"/>
      <c r="F194" s="63" t="s">
        <v>49</v>
      </c>
      <c r="G194" s="38"/>
      <c r="H194" s="48"/>
      <c r="I194" s="43"/>
      <c r="J194" s="38"/>
      <c r="K194" s="39">
        <f t="shared" si="15"/>
        <v>0</v>
      </c>
      <c r="L194" s="58" t="s">
        <v>78</v>
      </c>
      <c r="M194" s="38"/>
      <c r="N194" s="59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</row>
    <row r="195" ht="18.75" customHeight="1">
      <c r="A195" s="28"/>
      <c r="B195" s="29"/>
      <c r="C195" s="30"/>
      <c r="D195" s="28"/>
      <c r="E195" s="72">
        <f>N214</f>
        <v>266027</v>
      </c>
      <c r="F195" s="63"/>
      <c r="G195" s="9"/>
      <c r="H195" s="9"/>
      <c r="I195" s="43"/>
      <c r="J195" s="44"/>
      <c r="K195" s="64">
        <f>SUM(K187:K194)</f>
        <v>17850</v>
      </c>
      <c r="L195" s="65" t="s">
        <v>33</v>
      </c>
      <c r="M195" s="64">
        <f>SUM(M187:M194)</f>
        <v>12140</v>
      </c>
      <c r="N195" s="26">
        <f>E195+K195-M195</f>
        <v>271737</v>
      </c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</row>
    <row r="196" ht="82.5" customHeight="1">
      <c r="A196" s="59"/>
      <c r="B196" s="60"/>
      <c r="C196" s="61"/>
      <c r="D196" s="59"/>
      <c r="E196" s="52" t="s">
        <v>50</v>
      </c>
      <c r="F196" s="70" t="s">
        <v>81</v>
      </c>
      <c r="G196" s="2"/>
      <c r="H196" s="2"/>
      <c r="I196" s="2"/>
      <c r="J196" s="2"/>
      <c r="K196" s="2"/>
      <c r="L196" s="2"/>
      <c r="M196" s="2"/>
      <c r="N196" s="3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</row>
    <row r="197" ht="18.75" customHeight="1">
      <c r="A197" s="13">
        <v>1213.0</v>
      </c>
      <c r="B197" s="14">
        <v>45983.0</v>
      </c>
      <c r="C197" s="15"/>
      <c r="D197" s="75" t="s">
        <v>82</v>
      </c>
      <c r="E197" s="71" t="s">
        <v>15</v>
      </c>
      <c r="F197" s="76" t="s">
        <v>83</v>
      </c>
      <c r="G197" s="77">
        <f t="shared" ref="G197:G199" si="16">K197/H197</f>
        <v>3906.666667</v>
      </c>
      <c r="H197" s="42">
        <v>30.0</v>
      </c>
      <c r="I197" s="48"/>
      <c r="J197" s="38"/>
      <c r="K197" s="45">
        <f>117200</f>
        <v>117200</v>
      </c>
      <c r="L197" s="78" t="s">
        <v>84</v>
      </c>
      <c r="M197" s="34">
        <f>31000*3</f>
        <v>93000</v>
      </c>
      <c r="N197" s="26">
        <f>K214-M214</f>
        <v>15745</v>
      </c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</row>
    <row r="198" ht="18.75" customHeight="1">
      <c r="A198" s="28"/>
      <c r="B198" s="29"/>
      <c r="C198" s="30"/>
      <c r="D198" s="28"/>
      <c r="E198" s="28"/>
      <c r="F198" s="79" t="s">
        <v>85</v>
      </c>
      <c r="G198" s="77">
        <f t="shared" si="16"/>
        <v>4020</v>
      </c>
      <c r="H198" s="42">
        <v>35.0</v>
      </c>
      <c r="I198" s="43"/>
      <c r="J198" s="44"/>
      <c r="K198" s="45">
        <f>140700</f>
        <v>140700</v>
      </c>
      <c r="L198" s="80" t="s">
        <v>86</v>
      </c>
      <c r="M198" s="34">
        <v>900.0</v>
      </c>
      <c r="N198" s="35" t="s">
        <v>20</v>
      </c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</row>
    <row r="199" ht="18.75" customHeight="1">
      <c r="A199" s="28"/>
      <c r="B199" s="29"/>
      <c r="C199" s="30"/>
      <c r="D199" s="28"/>
      <c r="E199" s="28"/>
      <c r="F199" s="79" t="s">
        <v>87</v>
      </c>
      <c r="G199" s="77">
        <f t="shared" si="16"/>
        <v>3627.941176</v>
      </c>
      <c r="H199" s="42">
        <v>34.0</v>
      </c>
      <c r="I199" s="43"/>
      <c r="J199" s="44"/>
      <c r="K199" s="45">
        <f>123350</f>
        <v>123350</v>
      </c>
      <c r="L199" s="80" t="s">
        <v>88</v>
      </c>
      <c r="M199" s="34">
        <v>5765.0</v>
      </c>
      <c r="N199" s="28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</row>
    <row r="200" ht="18.75" customHeight="1">
      <c r="A200" s="28"/>
      <c r="B200" s="29"/>
      <c r="C200" s="30"/>
      <c r="D200" s="28"/>
      <c r="E200" s="28"/>
      <c r="F200" s="74" t="s">
        <v>89</v>
      </c>
      <c r="G200" s="77"/>
      <c r="H200" s="42"/>
      <c r="I200" s="43"/>
      <c r="J200" s="44"/>
      <c r="K200" s="34"/>
      <c r="L200" s="80" t="s">
        <v>90</v>
      </c>
      <c r="M200" s="25">
        <v>2600.0</v>
      </c>
      <c r="N200" s="28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</row>
    <row r="201" ht="18.75" customHeight="1">
      <c r="A201" s="28"/>
      <c r="B201" s="29"/>
      <c r="C201" s="30"/>
      <c r="D201" s="28"/>
      <c r="E201" s="28"/>
      <c r="F201" s="81" t="s">
        <v>73</v>
      </c>
      <c r="G201" s="77"/>
      <c r="H201" s="42"/>
      <c r="I201" s="43"/>
      <c r="J201" s="44"/>
      <c r="K201" s="34"/>
      <c r="L201" s="80" t="s">
        <v>91</v>
      </c>
      <c r="M201" s="34">
        <v>4500.0</v>
      </c>
      <c r="N201" s="28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</row>
    <row r="202" ht="18.75" customHeight="1">
      <c r="A202" s="28"/>
      <c r="B202" s="29"/>
      <c r="C202" s="30"/>
      <c r="D202" s="28"/>
      <c r="E202" s="28"/>
      <c r="F202" s="82" t="s">
        <v>92</v>
      </c>
      <c r="G202" s="83"/>
      <c r="H202" s="42"/>
      <c r="I202" s="43"/>
      <c r="J202" s="44"/>
      <c r="K202" s="34"/>
      <c r="L202" s="84" t="s">
        <v>93</v>
      </c>
      <c r="M202" s="34">
        <v>22000.0</v>
      </c>
      <c r="N202" s="28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</row>
    <row r="203" ht="18.75" customHeight="1">
      <c r="A203" s="28"/>
      <c r="B203" s="29"/>
      <c r="C203" s="30"/>
      <c r="D203" s="28"/>
      <c r="E203" s="28"/>
      <c r="F203" s="81" t="s">
        <v>94</v>
      </c>
      <c r="G203" s="85"/>
      <c r="H203" s="86"/>
      <c r="I203" s="43"/>
      <c r="J203" s="44"/>
      <c r="K203" s="45"/>
      <c r="L203" s="87" t="s">
        <v>95</v>
      </c>
      <c r="M203" s="34">
        <v>29600.0</v>
      </c>
      <c r="N203" s="28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</row>
    <row r="204" ht="18.75" customHeight="1">
      <c r="A204" s="28"/>
      <c r="B204" s="29"/>
      <c r="C204" s="30"/>
      <c r="D204" s="28"/>
      <c r="E204" s="28"/>
      <c r="F204" s="81" t="s">
        <v>96</v>
      </c>
      <c r="G204" s="83"/>
      <c r="H204" s="42"/>
      <c r="I204" s="48"/>
      <c r="J204" s="38"/>
      <c r="K204" s="39"/>
      <c r="L204" s="87" t="s">
        <v>97</v>
      </c>
      <c r="M204" s="34">
        <v>20000.0</v>
      </c>
      <c r="N204" s="28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</row>
    <row r="205" ht="33.0" customHeight="1">
      <c r="A205" s="28"/>
      <c r="B205" s="29"/>
      <c r="C205" s="30"/>
      <c r="D205" s="28"/>
      <c r="E205" s="28"/>
      <c r="F205" s="82" t="s">
        <v>98</v>
      </c>
      <c r="G205" s="88"/>
      <c r="H205" s="43"/>
      <c r="I205" s="43"/>
      <c r="J205" s="44"/>
      <c r="K205" s="45"/>
      <c r="L205" s="89" t="s">
        <v>99</v>
      </c>
      <c r="M205" s="34">
        <v>10000.0</v>
      </c>
      <c r="N205" s="28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</row>
    <row r="206" ht="36.75" customHeight="1">
      <c r="A206" s="28"/>
      <c r="B206" s="29"/>
      <c r="C206" s="30"/>
      <c r="D206" s="28"/>
      <c r="E206" s="28"/>
      <c r="F206" s="90"/>
      <c r="G206" s="91"/>
      <c r="H206" s="43"/>
      <c r="I206" s="92"/>
      <c r="J206" s="93"/>
      <c r="K206" s="94"/>
      <c r="L206" s="89" t="s">
        <v>100</v>
      </c>
      <c r="M206" s="34">
        <v>50000.0</v>
      </c>
      <c r="N206" s="28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</row>
    <row r="207" ht="18.75" customHeight="1">
      <c r="A207" s="28"/>
      <c r="B207" s="29"/>
      <c r="C207" s="30"/>
      <c r="D207" s="28"/>
      <c r="E207" s="28"/>
      <c r="F207" s="81"/>
      <c r="G207" s="83"/>
      <c r="H207" s="42"/>
      <c r="I207" s="48"/>
      <c r="J207" s="38"/>
      <c r="K207" s="39"/>
      <c r="L207" s="80" t="s">
        <v>101</v>
      </c>
      <c r="M207" s="34">
        <v>21700.0</v>
      </c>
      <c r="N207" s="28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</row>
    <row r="208" ht="18.75" customHeight="1">
      <c r="A208" s="28"/>
      <c r="B208" s="29"/>
      <c r="C208" s="30"/>
      <c r="D208" s="28"/>
      <c r="E208" s="28"/>
      <c r="F208" s="82"/>
      <c r="G208" s="88"/>
      <c r="H208" s="43"/>
      <c r="I208" s="48"/>
      <c r="J208" s="38"/>
      <c r="K208" s="25"/>
      <c r="L208" s="80" t="s">
        <v>102</v>
      </c>
      <c r="M208" s="34">
        <v>4000.0</v>
      </c>
      <c r="N208" s="28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</row>
    <row r="209" ht="18.75" customHeight="1">
      <c r="A209" s="28"/>
      <c r="B209" s="29"/>
      <c r="C209" s="30"/>
      <c r="D209" s="28"/>
      <c r="E209" s="28"/>
      <c r="F209" s="90"/>
      <c r="G209" s="91"/>
      <c r="H209" s="43"/>
      <c r="I209" s="48"/>
      <c r="J209" s="38"/>
      <c r="K209" s="25"/>
      <c r="L209" s="80" t="s">
        <v>103</v>
      </c>
      <c r="M209" s="34">
        <v>14000.0</v>
      </c>
      <c r="N209" s="28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</row>
    <row r="210" ht="18.75" customHeight="1">
      <c r="A210" s="28"/>
      <c r="B210" s="29"/>
      <c r="C210" s="30"/>
      <c r="D210" s="28"/>
      <c r="E210" s="28"/>
      <c r="F210" s="96"/>
      <c r="G210" s="38"/>
      <c r="H210" s="43"/>
      <c r="I210" s="48"/>
      <c r="J210" s="38"/>
      <c r="K210" s="25"/>
      <c r="L210" s="97" t="s">
        <v>104</v>
      </c>
      <c r="M210" s="34">
        <v>30000.0</v>
      </c>
      <c r="N210" s="28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</row>
    <row r="211" ht="18.75" customHeight="1">
      <c r="A211" s="28"/>
      <c r="B211" s="29"/>
      <c r="C211" s="30"/>
      <c r="D211" s="28"/>
      <c r="E211" s="28"/>
      <c r="F211" s="96"/>
      <c r="G211" s="38"/>
      <c r="H211" s="43"/>
      <c r="I211" s="48"/>
      <c r="J211" s="38"/>
      <c r="K211" s="25"/>
      <c r="L211" s="80" t="s">
        <v>105</v>
      </c>
      <c r="M211" s="34">
        <v>4810.0</v>
      </c>
      <c r="N211" s="28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</row>
    <row r="212" ht="18.75" customHeight="1">
      <c r="A212" s="28"/>
      <c r="B212" s="29"/>
      <c r="C212" s="30"/>
      <c r="D212" s="28"/>
      <c r="E212" s="28"/>
      <c r="F212" s="96"/>
      <c r="G212" s="38"/>
      <c r="H212" s="43"/>
      <c r="I212" s="48"/>
      <c r="J212" s="38"/>
      <c r="K212" s="25"/>
      <c r="L212" s="97" t="s">
        <v>106</v>
      </c>
      <c r="M212" s="34">
        <v>50000.0</v>
      </c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</row>
    <row r="213" ht="18.75" customHeight="1">
      <c r="A213" s="28"/>
      <c r="B213" s="29"/>
      <c r="C213" s="30"/>
      <c r="D213" s="28"/>
      <c r="E213" s="59"/>
      <c r="F213" s="96"/>
      <c r="G213" s="38"/>
      <c r="H213" s="43"/>
      <c r="I213" s="48"/>
      <c r="J213" s="38"/>
      <c r="K213" s="25"/>
      <c r="L213" s="97" t="s">
        <v>107</v>
      </c>
      <c r="M213" s="34">
        <v>2630.0</v>
      </c>
      <c r="N213" s="59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</row>
    <row r="214" ht="18.75" customHeight="1">
      <c r="A214" s="28"/>
      <c r="B214" s="29"/>
      <c r="C214" s="30"/>
      <c r="D214" s="28"/>
      <c r="E214" s="72">
        <f>N224</f>
        <v>250282</v>
      </c>
      <c r="F214" s="98" t="s">
        <v>108</v>
      </c>
      <c r="G214" s="2"/>
      <c r="H214" s="3"/>
      <c r="I214" s="43"/>
      <c r="J214" s="44"/>
      <c r="K214" s="64">
        <f>SUM(K197:K213)</f>
        <v>381250</v>
      </c>
      <c r="L214" s="65" t="s">
        <v>33</v>
      </c>
      <c r="M214" s="64">
        <f>SUM(M197:M213)</f>
        <v>365505</v>
      </c>
      <c r="N214" s="26">
        <f>E214+K214-M214</f>
        <v>266027</v>
      </c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</row>
    <row r="215" ht="18.75" customHeight="1">
      <c r="A215" s="59"/>
      <c r="B215" s="60"/>
      <c r="C215" s="61"/>
      <c r="D215" s="59"/>
      <c r="E215" s="63" t="s">
        <v>109</v>
      </c>
      <c r="F215" s="70"/>
      <c r="G215" s="2"/>
      <c r="H215" s="2"/>
      <c r="I215" s="2"/>
      <c r="J215" s="2"/>
      <c r="K215" s="2"/>
      <c r="L215" s="2"/>
      <c r="M215" s="2"/>
      <c r="N215" s="3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</row>
    <row r="216" ht="18.75" customHeight="1">
      <c r="A216" s="13">
        <v>1212.0</v>
      </c>
      <c r="B216" s="14">
        <v>45976.0</v>
      </c>
      <c r="C216" s="15"/>
      <c r="D216" s="16" t="s">
        <v>34</v>
      </c>
      <c r="E216" s="71" t="s">
        <v>15</v>
      </c>
      <c r="F216" s="40" t="s">
        <v>35</v>
      </c>
      <c r="G216" s="51">
        <v>200.0</v>
      </c>
      <c r="H216" s="66">
        <v>99.0</v>
      </c>
      <c r="I216" s="48"/>
      <c r="J216" s="38"/>
      <c r="K216" s="39">
        <f t="shared" ref="K216:K223" si="17">G216*H216</f>
        <v>19800</v>
      </c>
      <c r="L216" s="51" t="s">
        <v>36</v>
      </c>
      <c r="M216" s="39">
        <v>0.0</v>
      </c>
      <c r="N216" s="26">
        <f>K224-M224</f>
        <v>13810</v>
      </c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</row>
    <row r="217" ht="18.75" customHeight="1">
      <c r="A217" s="28"/>
      <c r="B217" s="29"/>
      <c r="C217" s="30"/>
      <c r="D217" s="28"/>
      <c r="E217" s="28"/>
      <c r="F217" s="67" t="s">
        <v>37</v>
      </c>
      <c r="G217" s="41">
        <v>150.0</v>
      </c>
      <c r="H217" s="42">
        <v>81.0</v>
      </c>
      <c r="I217" s="43"/>
      <c r="J217" s="44"/>
      <c r="K217" s="45">
        <f t="shared" si="17"/>
        <v>12150</v>
      </c>
      <c r="L217" s="41" t="s">
        <v>38</v>
      </c>
      <c r="M217" s="45">
        <v>200.0</v>
      </c>
      <c r="N217" s="35" t="s">
        <v>20</v>
      </c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</row>
    <row r="218" ht="18.75" customHeight="1">
      <c r="A218" s="28"/>
      <c r="B218" s="29"/>
      <c r="C218" s="30"/>
      <c r="D218" s="28"/>
      <c r="E218" s="28"/>
      <c r="F218" s="68" t="s">
        <v>39</v>
      </c>
      <c r="G218" s="51">
        <v>150.0</v>
      </c>
      <c r="H218" s="42"/>
      <c r="I218" s="48"/>
      <c r="J218" s="38"/>
      <c r="K218" s="39">
        <f t="shared" si="17"/>
        <v>0</v>
      </c>
      <c r="L218" s="58" t="s">
        <v>40</v>
      </c>
      <c r="M218" s="25">
        <v>300.0</v>
      </c>
      <c r="N218" s="28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</row>
    <row r="219" ht="18.75" customHeight="1">
      <c r="A219" s="28"/>
      <c r="B219" s="29"/>
      <c r="C219" s="30"/>
      <c r="D219" s="28"/>
      <c r="E219" s="28"/>
      <c r="F219" s="40" t="s">
        <v>41</v>
      </c>
      <c r="G219" s="41">
        <v>100.0</v>
      </c>
      <c r="H219" s="42"/>
      <c r="I219" s="43"/>
      <c r="J219" s="44"/>
      <c r="K219" s="45">
        <f t="shared" si="17"/>
        <v>0</v>
      </c>
      <c r="L219" s="65" t="s">
        <v>42</v>
      </c>
      <c r="M219" s="34">
        <v>4000.0</v>
      </c>
      <c r="N219" s="28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</row>
    <row r="220" ht="18.75" customHeight="1">
      <c r="A220" s="28"/>
      <c r="B220" s="29"/>
      <c r="C220" s="30"/>
      <c r="D220" s="28"/>
      <c r="E220" s="28"/>
      <c r="F220" s="47" t="s">
        <v>43</v>
      </c>
      <c r="G220" s="41">
        <v>200.0</v>
      </c>
      <c r="H220" s="43"/>
      <c r="I220" s="48"/>
      <c r="J220" s="38"/>
      <c r="K220" s="39">
        <f t="shared" si="17"/>
        <v>0</v>
      </c>
      <c r="L220" s="58" t="s">
        <v>44</v>
      </c>
      <c r="M220" s="25">
        <f>9530</f>
        <v>9530</v>
      </c>
      <c r="N220" s="28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</row>
    <row r="221" ht="18.75" customHeight="1">
      <c r="A221" s="28"/>
      <c r="B221" s="29"/>
      <c r="C221" s="30"/>
      <c r="D221" s="28"/>
      <c r="E221" s="28"/>
      <c r="F221" s="50" t="s">
        <v>45</v>
      </c>
      <c r="G221" s="51">
        <v>150.0</v>
      </c>
      <c r="H221" s="43"/>
      <c r="I221" s="48"/>
      <c r="J221" s="38"/>
      <c r="K221" s="39">
        <f t="shared" si="17"/>
        <v>0</v>
      </c>
      <c r="L221" s="65" t="s">
        <v>46</v>
      </c>
      <c r="M221" s="45">
        <f>660+440+900+210+40+50+300+1200+180+100+30</f>
        <v>4110</v>
      </c>
      <c r="N221" s="28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</row>
    <row r="222" ht="18.75" customHeight="1">
      <c r="A222" s="28"/>
      <c r="B222" s="29"/>
      <c r="C222" s="30"/>
      <c r="D222" s="28"/>
      <c r="E222" s="28"/>
      <c r="F222" s="52" t="s">
        <v>47</v>
      </c>
      <c r="G222" s="53"/>
      <c r="H222" s="54"/>
      <c r="I222" s="48"/>
      <c r="J222" s="38"/>
      <c r="K222" s="45">
        <f t="shared" si="17"/>
        <v>0</v>
      </c>
      <c r="L222" s="58" t="s">
        <v>48</v>
      </c>
      <c r="M222" s="34"/>
      <c r="N222" s="28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</row>
    <row r="223" ht="18.75" customHeight="1">
      <c r="A223" s="28"/>
      <c r="B223" s="29"/>
      <c r="C223" s="30"/>
      <c r="D223" s="28"/>
      <c r="E223" s="59"/>
      <c r="F223" s="63" t="s">
        <v>49</v>
      </c>
      <c r="G223" s="38"/>
      <c r="H223" s="48"/>
      <c r="I223" s="43"/>
      <c r="J223" s="38"/>
      <c r="K223" s="39">
        <f t="shared" si="17"/>
        <v>0</v>
      </c>
      <c r="L223" s="58" t="s">
        <v>78</v>
      </c>
      <c r="M223" s="38"/>
      <c r="N223" s="59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</row>
    <row r="224" ht="18.75" customHeight="1">
      <c r="A224" s="28"/>
      <c r="B224" s="29"/>
      <c r="C224" s="30"/>
      <c r="D224" s="28"/>
      <c r="E224" s="72">
        <f>N234</f>
        <v>236472</v>
      </c>
      <c r="F224" s="98" t="s">
        <v>108</v>
      </c>
      <c r="G224" s="2"/>
      <c r="H224" s="3"/>
      <c r="I224" s="43"/>
      <c r="J224" s="44"/>
      <c r="K224" s="64">
        <f>SUM(K216:K223)</f>
        <v>31950</v>
      </c>
      <c r="L224" s="65" t="s">
        <v>33</v>
      </c>
      <c r="M224" s="64">
        <f>SUM(M216:M223)</f>
        <v>18140</v>
      </c>
      <c r="N224" s="26">
        <f>E224+K224-M224</f>
        <v>250282</v>
      </c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</row>
    <row r="225" ht="75.0" customHeight="1">
      <c r="A225" s="59"/>
      <c r="B225" s="60"/>
      <c r="C225" s="61"/>
      <c r="D225" s="59"/>
      <c r="E225" s="63" t="s">
        <v>109</v>
      </c>
      <c r="F225" s="70" t="s">
        <v>110</v>
      </c>
      <c r="G225" s="2"/>
      <c r="H225" s="2"/>
      <c r="I225" s="2"/>
      <c r="J225" s="2"/>
      <c r="K225" s="2"/>
      <c r="L225" s="2"/>
      <c r="M225" s="2"/>
      <c r="N225" s="3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</row>
    <row r="226" ht="18.75" customHeight="1">
      <c r="A226" s="13">
        <v>1211.0</v>
      </c>
      <c r="B226" s="14">
        <v>45969.0</v>
      </c>
      <c r="C226" s="15"/>
      <c r="D226" s="16" t="s">
        <v>111</v>
      </c>
      <c r="E226" s="71" t="s">
        <v>15</v>
      </c>
      <c r="F226" s="40" t="s">
        <v>35</v>
      </c>
      <c r="G226" s="51">
        <v>200.0</v>
      </c>
      <c r="H226" s="66">
        <v>85.0</v>
      </c>
      <c r="I226" s="48"/>
      <c r="J226" s="38"/>
      <c r="K226" s="39">
        <f t="shared" ref="K226:K233" si="18">G226*H226</f>
        <v>17000</v>
      </c>
      <c r="L226" s="51" t="s">
        <v>36</v>
      </c>
      <c r="M226" s="39">
        <v>0.0</v>
      </c>
      <c r="N226" s="26">
        <f>K234-M234</f>
        <v>7060</v>
      </c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</row>
    <row r="227" ht="18.75" customHeight="1">
      <c r="A227" s="28"/>
      <c r="B227" s="29"/>
      <c r="C227" s="30"/>
      <c r="D227" s="28"/>
      <c r="E227" s="28"/>
      <c r="F227" s="67" t="s">
        <v>37</v>
      </c>
      <c r="G227" s="41">
        <v>150.0</v>
      </c>
      <c r="H227" s="42">
        <v>46.0</v>
      </c>
      <c r="I227" s="43"/>
      <c r="J227" s="44"/>
      <c r="K227" s="45">
        <f t="shared" si="18"/>
        <v>6900</v>
      </c>
      <c r="L227" s="41" t="s">
        <v>38</v>
      </c>
      <c r="M227" s="45">
        <v>200.0</v>
      </c>
      <c r="N227" s="35" t="s">
        <v>20</v>
      </c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</row>
    <row r="228" ht="18.75" customHeight="1">
      <c r="A228" s="28"/>
      <c r="B228" s="29"/>
      <c r="C228" s="30"/>
      <c r="D228" s="28"/>
      <c r="E228" s="28"/>
      <c r="F228" s="68" t="s">
        <v>39</v>
      </c>
      <c r="G228" s="51">
        <v>150.0</v>
      </c>
      <c r="H228" s="42"/>
      <c r="I228" s="48"/>
      <c r="J228" s="38"/>
      <c r="K228" s="39">
        <f t="shared" si="18"/>
        <v>0</v>
      </c>
      <c r="L228" s="58" t="s">
        <v>40</v>
      </c>
      <c r="M228" s="25">
        <v>350.0</v>
      </c>
      <c r="N228" s="28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</row>
    <row r="229" ht="18.75" customHeight="1">
      <c r="A229" s="28"/>
      <c r="B229" s="29"/>
      <c r="C229" s="30"/>
      <c r="D229" s="28"/>
      <c r="E229" s="28"/>
      <c r="F229" s="40" t="s">
        <v>41</v>
      </c>
      <c r="G229" s="41">
        <v>100.0</v>
      </c>
      <c r="H229" s="42"/>
      <c r="I229" s="43"/>
      <c r="J229" s="44"/>
      <c r="K229" s="45">
        <f t="shared" si="18"/>
        <v>0</v>
      </c>
      <c r="L229" s="65" t="s">
        <v>42</v>
      </c>
      <c r="M229" s="34">
        <v>3500.0</v>
      </c>
      <c r="N229" s="28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</row>
    <row r="230" ht="18.75" customHeight="1">
      <c r="A230" s="28"/>
      <c r="B230" s="29"/>
      <c r="C230" s="30"/>
      <c r="D230" s="28"/>
      <c r="E230" s="28"/>
      <c r="F230" s="47" t="s">
        <v>43</v>
      </c>
      <c r="G230" s="41">
        <v>200.0</v>
      </c>
      <c r="H230" s="43"/>
      <c r="I230" s="48"/>
      <c r="J230" s="38"/>
      <c r="K230" s="39">
        <f t="shared" si="18"/>
        <v>0</v>
      </c>
      <c r="L230" s="58" t="s">
        <v>44</v>
      </c>
      <c r="M230" s="25">
        <f>9460</f>
        <v>9460</v>
      </c>
      <c r="N230" s="28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</row>
    <row r="231" ht="18.75" customHeight="1">
      <c r="A231" s="28"/>
      <c r="B231" s="29"/>
      <c r="C231" s="30"/>
      <c r="D231" s="28"/>
      <c r="E231" s="28"/>
      <c r="F231" s="50" t="s">
        <v>45</v>
      </c>
      <c r="G231" s="51">
        <v>150.0</v>
      </c>
      <c r="H231" s="43"/>
      <c r="I231" s="48"/>
      <c r="J231" s="38"/>
      <c r="K231" s="39">
        <f t="shared" si="18"/>
        <v>0</v>
      </c>
      <c r="L231" s="65" t="s">
        <v>46</v>
      </c>
      <c r="M231" s="45">
        <f>770+220+540+210+40+50+300+1200</f>
        <v>3330</v>
      </c>
      <c r="N231" s="28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</row>
    <row r="232" ht="18.75" customHeight="1">
      <c r="A232" s="28"/>
      <c r="B232" s="29"/>
      <c r="C232" s="30"/>
      <c r="D232" s="28"/>
      <c r="E232" s="28"/>
      <c r="F232" s="52" t="s">
        <v>47</v>
      </c>
      <c r="G232" s="53"/>
      <c r="H232" s="54"/>
      <c r="I232" s="48"/>
      <c r="J232" s="38"/>
      <c r="K232" s="45">
        <f t="shared" si="18"/>
        <v>0</v>
      </c>
      <c r="L232" s="58" t="s">
        <v>48</v>
      </c>
      <c r="M232" s="34"/>
      <c r="N232" s="28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</row>
    <row r="233" ht="18.75" customHeight="1">
      <c r="A233" s="28"/>
      <c r="B233" s="29"/>
      <c r="C233" s="30"/>
      <c r="D233" s="28"/>
      <c r="E233" s="59"/>
      <c r="F233" s="63" t="s">
        <v>49</v>
      </c>
      <c r="G233" s="38"/>
      <c r="H233" s="48"/>
      <c r="I233" s="43"/>
      <c r="J233" s="38"/>
      <c r="K233" s="39">
        <f t="shared" si="18"/>
        <v>0</v>
      </c>
      <c r="L233" s="58" t="s">
        <v>78</v>
      </c>
      <c r="M233" s="38"/>
      <c r="N233" s="59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</row>
    <row r="234" ht="18.75" customHeight="1">
      <c r="A234" s="28"/>
      <c r="B234" s="29"/>
      <c r="C234" s="30"/>
      <c r="D234" s="28"/>
      <c r="E234" s="72">
        <f>N244</f>
        <v>229412</v>
      </c>
      <c r="F234" s="98" t="s">
        <v>108</v>
      </c>
      <c r="G234" s="2"/>
      <c r="H234" s="3"/>
      <c r="I234" s="43"/>
      <c r="J234" s="44"/>
      <c r="K234" s="64">
        <f>SUM(K226:K233)</f>
        <v>23900</v>
      </c>
      <c r="L234" s="65" t="s">
        <v>33</v>
      </c>
      <c r="M234" s="64">
        <f>SUM(M226:M233)</f>
        <v>16840</v>
      </c>
      <c r="N234" s="26">
        <f>E234+K234-M234</f>
        <v>236472</v>
      </c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</row>
    <row r="235" ht="74.25" customHeight="1">
      <c r="A235" s="59"/>
      <c r="B235" s="60"/>
      <c r="C235" s="61"/>
      <c r="D235" s="59"/>
      <c r="E235" s="63" t="s">
        <v>109</v>
      </c>
      <c r="F235" s="70" t="s">
        <v>112</v>
      </c>
      <c r="G235" s="2"/>
      <c r="H235" s="2"/>
      <c r="I235" s="2"/>
      <c r="J235" s="2"/>
      <c r="K235" s="2"/>
      <c r="L235" s="2"/>
      <c r="M235" s="2"/>
      <c r="N235" s="3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</row>
    <row r="236" ht="18.75" customHeight="1">
      <c r="A236" s="13">
        <v>1210.0</v>
      </c>
      <c r="B236" s="14">
        <v>45962.0</v>
      </c>
      <c r="C236" s="15"/>
      <c r="D236" s="16" t="s">
        <v>113</v>
      </c>
      <c r="E236" s="71" t="s">
        <v>15</v>
      </c>
      <c r="F236" s="40" t="s">
        <v>35</v>
      </c>
      <c r="G236" s="51">
        <v>200.0</v>
      </c>
      <c r="H236" s="66">
        <v>71.0</v>
      </c>
      <c r="I236" s="48"/>
      <c r="J236" s="38"/>
      <c r="K236" s="39">
        <f t="shared" ref="K236:K243" si="19">G236*H236</f>
        <v>14200</v>
      </c>
      <c r="L236" s="51" t="s">
        <v>36</v>
      </c>
      <c r="M236" s="39">
        <v>0.0</v>
      </c>
      <c r="N236" s="26">
        <f>K244-M244</f>
        <v>7715</v>
      </c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</row>
    <row r="237" ht="18.75" customHeight="1">
      <c r="A237" s="28"/>
      <c r="B237" s="29"/>
      <c r="C237" s="30"/>
      <c r="D237" s="28"/>
      <c r="E237" s="28"/>
      <c r="F237" s="67" t="s">
        <v>37</v>
      </c>
      <c r="G237" s="41">
        <v>150.0</v>
      </c>
      <c r="H237" s="42">
        <v>52.0</v>
      </c>
      <c r="I237" s="43"/>
      <c r="J237" s="44"/>
      <c r="K237" s="45">
        <f t="shared" si="19"/>
        <v>7800</v>
      </c>
      <c r="L237" s="41" t="s">
        <v>38</v>
      </c>
      <c r="M237" s="45">
        <v>200.0</v>
      </c>
      <c r="N237" s="35" t="s">
        <v>20</v>
      </c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</row>
    <row r="238" ht="18.75" customHeight="1">
      <c r="A238" s="28"/>
      <c r="B238" s="29"/>
      <c r="C238" s="30"/>
      <c r="D238" s="28"/>
      <c r="E238" s="28"/>
      <c r="F238" s="68" t="s">
        <v>39</v>
      </c>
      <c r="G238" s="51">
        <v>150.0</v>
      </c>
      <c r="H238" s="42"/>
      <c r="I238" s="48"/>
      <c r="J238" s="38"/>
      <c r="K238" s="39">
        <f t="shared" si="19"/>
        <v>0</v>
      </c>
      <c r="L238" s="58" t="s">
        <v>40</v>
      </c>
      <c r="M238" s="25">
        <v>400.0</v>
      </c>
      <c r="N238" s="28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</row>
    <row r="239" ht="18.75" customHeight="1">
      <c r="A239" s="28"/>
      <c r="B239" s="29"/>
      <c r="C239" s="30"/>
      <c r="D239" s="28"/>
      <c r="E239" s="28"/>
      <c r="F239" s="40" t="s">
        <v>41</v>
      </c>
      <c r="G239" s="41">
        <v>100.0</v>
      </c>
      <c r="H239" s="42"/>
      <c r="I239" s="43"/>
      <c r="J239" s="44"/>
      <c r="K239" s="45">
        <f t="shared" si="19"/>
        <v>0</v>
      </c>
      <c r="L239" s="65" t="s">
        <v>42</v>
      </c>
      <c r="M239" s="34">
        <v>3500.0</v>
      </c>
      <c r="N239" s="28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</row>
    <row r="240" ht="18.75" customHeight="1">
      <c r="A240" s="28"/>
      <c r="B240" s="29"/>
      <c r="C240" s="30"/>
      <c r="D240" s="28"/>
      <c r="E240" s="28"/>
      <c r="F240" s="47" t="s">
        <v>43</v>
      </c>
      <c r="G240" s="41">
        <v>200.0</v>
      </c>
      <c r="H240" s="43"/>
      <c r="I240" s="48"/>
      <c r="J240" s="38"/>
      <c r="K240" s="39">
        <f t="shared" si="19"/>
        <v>0</v>
      </c>
      <c r="L240" s="58" t="s">
        <v>44</v>
      </c>
      <c r="M240" s="25">
        <f>5880</f>
        <v>5880</v>
      </c>
      <c r="N240" s="28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</row>
    <row r="241" ht="18.75" customHeight="1">
      <c r="A241" s="28"/>
      <c r="B241" s="29"/>
      <c r="C241" s="30"/>
      <c r="D241" s="28"/>
      <c r="E241" s="28"/>
      <c r="F241" s="50" t="s">
        <v>45</v>
      </c>
      <c r="G241" s="51">
        <v>150.0</v>
      </c>
      <c r="H241" s="43"/>
      <c r="I241" s="48"/>
      <c r="J241" s="38"/>
      <c r="K241" s="39">
        <f t="shared" si="19"/>
        <v>0</v>
      </c>
      <c r="L241" s="65" t="s">
        <v>46</v>
      </c>
      <c r="M241" s="45">
        <f>550+220+360+210+40+50+300+375</f>
        <v>2105</v>
      </c>
      <c r="N241" s="28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</row>
    <row r="242" ht="18.75" customHeight="1">
      <c r="A242" s="28"/>
      <c r="B242" s="29"/>
      <c r="C242" s="30"/>
      <c r="D242" s="28"/>
      <c r="E242" s="28"/>
      <c r="F242" s="52" t="s">
        <v>47</v>
      </c>
      <c r="G242" s="53"/>
      <c r="H242" s="54"/>
      <c r="I242" s="48"/>
      <c r="J242" s="38"/>
      <c r="K242" s="45">
        <f t="shared" si="19"/>
        <v>0</v>
      </c>
      <c r="L242" s="58" t="s">
        <v>48</v>
      </c>
      <c r="M242" s="34">
        <v>2200.0</v>
      </c>
      <c r="N242" s="28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</row>
    <row r="243" ht="18.75" customHeight="1">
      <c r="A243" s="28"/>
      <c r="B243" s="29"/>
      <c r="C243" s="30"/>
      <c r="D243" s="28"/>
      <c r="E243" s="59"/>
      <c r="F243" s="63" t="s">
        <v>49</v>
      </c>
      <c r="G243" s="38"/>
      <c r="H243" s="48"/>
      <c r="I243" s="43"/>
      <c r="J243" s="38"/>
      <c r="K243" s="39">
        <f t="shared" si="19"/>
        <v>0</v>
      </c>
      <c r="L243" s="58" t="s">
        <v>78</v>
      </c>
      <c r="M243" s="38"/>
      <c r="N243" s="59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</row>
    <row r="244" ht="18.75" customHeight="1">
      <c r="A244" s="28"/>
      <c r="B244" s="29"/>
      <c r="C244" s="30"/>
      <c r="D244" s="28"/>
      <c r="E244" s="72">
        <f>N254</f>
        <v>221697</v>
      </c>
      <c r="F244" s="98" t="s">
        <v>108</v>
      </c>
      <c r="G244" s="2"/>
      <c r="H244" s="3"/>
      <c r="I244" s="43"/>
      <c r="J244" s="44"/>
      <c r="K244" s="64">
        <f>SUM(K236:K243)</f>
        <v>22000</v>
      </c>
      <c r="L244" s="65" t="s">
        <v>33</v>
      </c>
      <c r="M244" s="64">
        <f>SUM(M236:M243)</f>
        <v>14285</v>
      </c>
      <c r="N244" s="26">
        <f>E244+K244-M244</f>
        <v>229412</v>
      </c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</row>
    <row r="245" ht="79.5" customHeight="1">
      <c r="A245" s="59"/>
      <c r="B245" s="60"/>
      <c r="C245" s="61"/>
      <c r="D245" s="59"/>
      <c r="E245" s="63" t="s">
        <v>109</v>
      </c>
      <c r="F245" s="70" t="s">
        <v>114</v>
      </c>
      <c r="G245" s="2"/>
      <c r="H245" s="2"/>
      <c r="I245" s="2"/>
      <c r="J245" s="2"/>
      <c r="K245" s="2"/>
      <c r="L245" s="2"/>
      <c r="M245" s="2"/>
      <c r="N245" s="3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</row>
    <row r="246" ht="18.75" customHeight="1">
      <c r="A246" s="13">
        <v>1209.0</v>
      </c>
      <c r="B246" s="14">
        <v>45955.0</v>
      </c>
      <c r="C246" s="15"/>
      <c r="D246" s="16" t="s">
        <v>115</v>
      </c>
      <c r="E246" s="71" t="s">
        <v>15</v>
      </c>
      <c r="F246" s="40" t="s">
        <v>35</v>
      </c>
      <c r="G246" s="51">
        <v>200.0</v>
      </c>
      <c r="H246" s="66">
        <v>60.0</v>
      </c>
      <c r="I246" s="48"/>
      <c r="J246" s="38"/>
      <c r="K246" s="39">
        <f t="shared" ref="K246:K253" si="20">G246*H246</f>
        <v>12000</v>
      </c>
      <c r="L246" s="51" t="s">
        <v>36</v>
      </c>
      <c r="M246" s="39">
        <v>0.0</v>
      </c>
      <c r="N246" s="26">
        <f>K254-M254</f>
        <v>4430</v>
      </c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</row>
    <row r="247" ht="18.75" customHeight="1">
      <c r="A247" s="28"/>
      <c r="B247" s="29"/>
      <c r="C247" s="30"/>
      <c r="D247" s="28"/>
      <c r="E247" s="28"/>
      <c r="F247" s="67" t="s">
        <v>37</v>
      </c>
      <c r="G247" s="41">
        <v>150.0</v>
      </c>
      <c r="H247" s="42">
        <v>36.0</v>
      </c>
      <c r="I247" s="43"/>
      <c r="J247" s="44"/>
      <c r="K247" s="45">
        <f t="shared" si="20"/>
        <v>5400</v>
      </c>
      <c r="L247" s="41" t="s">
        <v>38</v>
      </c>
      <c r="M247" s="45">
        <v>200.0</v>
      </c>
      <c r="N247" s="35" t="s">
        <v>20</v>
      </c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</row>
    <row r="248" ht="18.75" customHeight="1">
      <c r="A248" s="28"/>
      <c r="B248" s="29"/>
      <c r="C248" s="30"/>
      <c r="D248" s="28"/>
      <c r="E248" s="28"/>
      <c r="F248" s="68" t="s">
        <v>39</v>
      </c>
      <c r="G248" s="51">
        <v>150.0</v>
      </c>
      <c r="H248" s="42"/>
      <c r="I248" s="48"/>
      <c r="J248" s="38"/>
      <c r="K248" s="39">
        <f t="shared" si="20"/>
        <v>0</v>
      </c>
      <c r="L248" s="58" t="s">
        <v>40</v>
      </c>
      <c r="M248" s="25">
        <v>400.0</v>
      </c>
      <c r="N248" s="28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</row>
    <row r="249" ht="18.75" customHeight="1">
      <c r="A249" s="28"/>
      <c r="B249" s="29"/>
      <c r="C249" s="30"/>
      <c r="D249" s="28"/>
      <c r="E249" s="28"/>
      <c r="F249" s="40" t="s">
        <v>41</v>
      </c>
      <c r="G249" s="41">
        <v>100.0</v>
      </c>
      <c r="H249" s="42">
        <v>1.0</v>
      </c>
      <c r="I249" s="43"/>
      <c r="J249" s="44"/>
      <c r="K249" s="45">
        <f t="shared" si="20"/>
        <v>100</v>
      </c>
      <c r="L249" s="65" t="s">
        <v>42</v>
      </c>
      <c r="M249" s="34">
        <v>4000.0</v>
      </c>
      <c r="N249" s="28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</row>
    <row r="250" ht="18.75" customHeight="1">
      <c r="A250" s="28"/>
      <c r="B250" s="29"/>
      <c r="C250" s="30"/>
      <c r="D250" s="28"/>
      <c r="E250" s="28"/>
      <c r="F250" s="47" t="s">
        <v>43</v>
      </c>
      <c r="G250" s="41">
        <v>200.0</v>
      </c>
      <c r="H250" s="43"/>
      <c r="I250" s="48"/>
      <c r="J250" s="38"/>
      <c r="K250" s="39">
        <f t="shared" si="20"/>
        <v>0</v>
      </c>
      <c r="L250" s="58" t="s">
        <v>44</v>
      </c>
      <c r="M250" s="25">
        <f>5520</f>
        <v>5520</v>
      </c>
      <c r="N250" s="28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</row>
    <row r="251" ht="18.75" customHeight="1">
      <c r="A251" s="28"/>
      <c r="B251" s="29"/>
      <c r="C251" s="30"/>
      <c r="D251" s="28"/>
      <c r="E251" s="28"/>
      <c r="F251" s="50" t="s">
        <v>45</v>
      </c>
      <c r="G251" s="51">
        <v>150.0</v>
      </c>
      <c r="H251" s="43"/>
      <c r="I251" s="48"/>
      <c r="J251" s="38"/>
      <c r="K251" s="39">
        <f t="shared" si="20"/>
        <v>0</v>
      </c>
      <c r="L251" s="65" t="s">
        <v>46</v>
      </c>
      <c r="M251" s="45">
        <f>550+110+270+210+40+50+300+1200+220</f>
        <v>2950</v>
      </c>
      <c r="N251" s="28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</row>
    <row r="252" ht="18.75" customHeight="1">
      <c r="A252" s="28"/>
      <c r="B252" s="29"/>
      <c r="C252" s="30"/>
      <c r="D252" s="28"/>
      <c r="E252" s="28"/>
      <c r="F252" s="52" t="s">
        <v>47</v>
      </c>
      <c r="G252" s="53"/>
      <c r="H252" s="54"/>
      <c r="I252" s="48"/>
      <c r="J252" s="38"/>
      <c r="K252" s="45">
        <f t="shared" si="20"/>
        <v>0</v>
      </c>
      <c r="L252" s="58" t="s">
        <v>48</v>
      </c>
      <c r="M252" s="34"/>
      <c r="N252" s="28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</row>
    <row r="253" ht="18.75" customHeight="1">
      <c r="A253" s="28"/>
      <c r="B253" s="29"/>
      <c r="C253" s="30"/>
      <c r="D253" s="28"/>
      <c r="E253" s="59"/>
      <c r="F253" s="63" t="s">
        <v>49</v>
      </c>
      <c r="G253" s="38"/>
      <c r="H253" s="48"/>
      <c r="I253" s="43"/>
      <c r="J253" s="38"/>
      <c r="K253" s="39">
        <f t="shared" si="20"/>
        <v>0</v>
      </c>
      <c r="L253" s="58" t="s">
        <v>78</v>
      </c>
      <c r="M253" s="38"/>
      <c r="N253" s="59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</row>
    <row r="254" ht="18.75" customHeight="1">
      <c r="A254" s="28"/>
      <c r="B254" s="29"/>
      <c r="C254" s="30"/>
      <c r="D254" s="28"/>
      <c r="E254" s="72">
        <f>N264</f>
        <v>217267</v>
      </c>
      <c r="F254" s="98" t="s">
        <v>108</v>
      </c>
      <c r="G254" s="2"/>
      <c r="H254" s="3"/>
      <c r="I254" s="43"/>
      <c r="J254" s="44"/>
      <c r="K254" s="64">
        <f>SUM(K246:K253)</f>
        <v>17500</v>
      </c>
      <c r="L254" s="65" t="s">
        <v>33</v>
      </c>
      <c r="M254" s="64">
        <f>SUM(M246:M253)</f>
        <v>13070</v>
      </c>
      <c r="N254" s="26">
        <f>E254+K254-M254</f>
        <v>221697</v>
      </c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</row>
    <row r="255" ht="75.75" customHeight="1">
      <c r="A255" s="59"/>
      <c r="B255" s="60"/>
      <c r="C255" s="61"/>
      <c r="D255" s="59"/>
      <c r="E255" s="63" t="s">
        <v>109</v>
      </c>
      <c r="F255" s="70" t="s">
        <v>116</v>
      </c>
      <c r="G255" s="2"/>
      <c r="H255" s="2"/>
      <c r="I255" s="2"/>
      <c r="J255" s="2"/>
      <c r="K255" s="2"/>
      <c r="L255" s="2"/>
      <c r="M255" s="2"/>
      <c r="N255" s="3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</row>
    <row r="256" ht="18.75" customHeight="1">
      <c r="A256" s="13">
        <v>1208.0</v>
      </c>
      <c r="B256" s="14">
        <v>45948.0</v>
      </c>
      <c r="C256" s="15"/>
      <c r="D256" s="16" t="s">
        <v>117</v>
      </c>
      <c r="E256" s="71" t="s">
        <v>15</v>
      </c>
      <c r="F256" s="40" t="s">
        <v>35</v>
      </c>
      <c r="G256" s="53">
        <v>1100.0</v>
      </c>
      <c r="H256" s="66">
        <v>93.0</v>
      </c>
      <c r="I256" s="48"/>
      <c r="J256" s="38"/>
      <c r="K256" s="39">
        <f t="shared" ref="K256:K263" si="21">G256*H256</f>
        <v>102300</v>
      </c>
      <c r="L256" s="53" t="s">
        <v>118</v>
      </c>
      <c r="M256" s="25">
        <v>38500.0</v>
      </c>
      <c r="N256" s="26">
        <f>K264-M264</f>
        <v>12972</v>
      </c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</row>
    <row r="257" ht="54.75" customHeight="1">
      <c r="A257" s="28"/>
      <c r="B257" s="29"/>
      <c r="C257" s="30"/>
      <c r="D257" s="28"/>
      <c r="E257" s="28"/>
      <c r="F257" s="67" t="s">
        <v>37</v>
      </c>
      <c r="G257" s="77">
        <v>1050.0</v>
      </c>
      <c r="H257" s="42">
        <v>45.0</v>
      </c>
      <c r="I257" s="43"/>
      <c r="J257" s="44"/>
      <c r="K257" s="45">
        <f t="shared" si="21"/>
        <v>47250</v>
      </c>
      <c r="L257" s="99" t="s">
        <v>119</v>
      </c>
      <c r="M257" s="34">
        <v>8500.0</v>
      </c>
      <c r="N257" s="35" t="s">
        <v>20</v>
      </c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</row>
    <row r="258" ht="18.75" customHeight="1">
      <c r="A258" s="28"/>
      <c r="B258" s="29"/>
      <c r="C258" s="30"/>
      <c r="D258" s="28"/>
      <c r="E258" s="28"/>
      <c r="F258" s="68" t="s">
        <v>39</v>
      </c>
      <c r="G258" s="51">
        <v>150.0</v>
      </c>
      <c r="H258" s="42"/>
      <c r="I258" s="48"/>
      <c r="J258" s="38"/>
      <c r="K258" s="39">
        <f t="shared" si="21"/>
        <v>0</v>
      </c>
      <c r="L258" s="80" t="s">
        <v>120</v>
      </c>
      <c r="M258" s="25">
        <v>7473.0</v>
      </c>
      <c r="N258" s="28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</row>
    <row r="259" ht="18.75" customHeight="1">
      <c r="A259" s="28"/>
      <c r="B259" s="29"/>
      <c r="C259" s="30"/>
      <c r="D259" s="28"/>
      <c r="E259" s="28"/>
      <c r="F259" s="40" t="s">
        <v>41</v>
      </c>
      <c r="G259" s="77">
        <v>1000.0</v>
      </c>
      <c r="H259" s="42">
        <v>1.0</v>
      </c>
      <c r="I259" s="43"/>
      <c r="J259" s="44"/>
      <c r="K259" s="45">
        <f t="shared" si="21"/>
        <v>1000</v>
      </c>
      <c r="L259" s="100" t="s">
        <v>121</v>
      </c>
      <c r="M259" s="34">
        <v>5000.0</v>
      </c>
      <c r="N259" s="28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</row>
    <row r="260" ht="18.75" customHeight="1">
      <c r="A260" s="28"/>
      <c r="B260" s="29"/>
      <c r="C260" s="30"/>
      <c r="D260" s="28"/>
      <c r="E260" s="28"/>
      <c r="F260" s="47" t="s">
        <v>43</v>
      </c>
      <c r="G260" s="41">
        <v>200.0</v>
      </c>
      <c r="H260" s="43"/>
      <c r="I260" s="48"/>
      <c r="J260" s="38"/>
      <c r="K260" s="39">
        <f t="shared" si="21"/>
        <v>0</v>
      </c>
      <c r="L260" s="80" t="s">
        <v>122</v>
      </c>
      <c r="M260" s="25">
        <f>12660</f>
        <v>12660</v>
      </c>
      <c r="N260" s="28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</row>
    <row r="261" ht="18.75" customHeight="1">
      <c r="A261" s="28"/>
      <c r="B261" s="29"/>
      <c r="C261" s="30"/>
      <c r="D261" s="28"/>
      <c r="E261" s="28"/>
      <c r="F261" s="50" t="s">
        <v>45</v>
      </c>
      <c r="G261" s="51">
        <v>150.0</v>
      </c>
      <c r="H261" s="43"/>
      <c r="I261" s="48"/>
      <c r="J261" s="38"/>
      <c r="K261" s="39">
        <f t="shared" si="21"/>
        <v>0</v>
      </c>
      <c r="L261" s="80" t="s">
        <v>123</v>
      </c>
      <c r="M261" s="25">
        <f>49000</f>
        <v>49000</v>
      </c>
      <c r="N261" s="28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</row>
    <row r="262" ht="18.75" customHeight="1">
      <c r="A262" s="28"/>
      <c r="B262" s="29"/>
      <c r="C262" s="30"/>
      <c r="D262" s="28"/>
      <c r="E262" s="28"/>
      <c r="F262" s="52" t="s">
        <v>47</v>
      </c>
      <c r="G262" s="53"/>
      <c r="H262" s="54"/>
      <c r="I262" s="48"/>
      <c r="J262" s="38"/>
      <c r="K262" s="45">
        <f t="shared" si="21"/>
        <v>0</v>
      </c>
      <c r="L262" s="65" t="s">
        <v>46</v>
      </c>
      <c r="M262" s="34">
        <f>880+220+270+650+500+1050+550+50+95+180</f>
        <v>4445</v>
      </c>
      <c r="N262" s="28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</row>
    <row r="263" ht="18.75" customHeight="1">
      <c r="A263" s="28"/>
      <c r="B263" s="29"/>
      <c r="C263" s="30"/>
      <c r="D263" s="28"/>
      <c r="E263" s="59"/>
      <c r="F263" s="63" t="s">
        <v>49</v>
      </c>
      <c r="G263" s="38"/>
      <c r="H263" s="48"/>
      <c r="I263" s="43"/>
      <c r="J263" s="38"/>
      <c r="K263" s="39">
        <f t="shared" si="21"/>
        <v>0</v>
      </c>
      <c r="L263" s="58" t="s">
        <v>48</v>
      </c>
      <c r="M263" s="45">
        <f>10970+950+100-20</f>
        <v>12000</v>
      </c>
      <c r="N263" s="59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</row>
    <row r="264" ht="18.75" customHeight="1">
      <c r="A264" s="28"/>
      <c r="B264" s="29"/>
      <c r="C264" s="30"/>
      <c r="D264" s="28"/>
      <c r="E264" s="72">
        <f>N274</f>
        <v>204295</v>
      </c>
      <c r="F264" s="98" t="s">
        <v>108</v>
      </c>
      <c r="G264" s="2"/>
      <c r="H264" s="3"/>
      <c r="I264" s="43"/>
      <c r="J264" s="44"/>
      <c r="K264" s="64">
        <f>SUM(K256:K263)</f>
        <v>150550</v>
      </c>
      <c r="L264" s="65" t="s">
        <v>33</v>
      </c>
      <c r="M264" s="64">
        <f>SUM(M256:M263)</f>
        <v>137578</v>
      </c>
      <c r="N264" s="26">
        <f>E264+K264-M264</f>
        <v>217267</v>
      </c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</row>
    <row r="265" ht="66.0" customHeight="1">
      <c r="A265" s="59"/>
      <c r="B265" s="60"/>
      <c r="C265" s="61"/>
      <c r="D265" s="59"/>
      <c r="E265" s="63" t="s">
        <v>109</v>
      </c>
      <c r="F265" s="70" t="s">
        <v>124</v>
      </c>
      <c r="G265" s="2"/>
      <c r="H265" s="2"/>
      <c r="I265" s="2"/>
      <c r="J265" s="2"/>
      <c r="K265" s="2"/>
      <c r="L265" s="2"/>
      <c r="M265" s="2"/>
      <c r="N265" s="3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</row>
    <row r="266" ht="18.75" customHeight="1">
      <c r="A266" s="13">
        <v>1207.0</v>
      </c>
      <c r="B266" s="14">
        <v>45941.0</v>
      </c>
      <c r="C266" s="15"/>
      <c r="D266" s="16" t="s">
        <v>125</v>
      </c>
      <c r="E266" s="71" t="s">
        <v>15</v>
      </c>
      <c r="F266" s="40" t="s">
        <v>35</v>
      </c>
      <c r="G266" s="51">
        <v>200.0</v>
      </c>
      <c r="H266" s="66">
        <v>83.0</v>
      </c>
      <c r="I266" s="48"/>
      <c r="J266" s="38"/>
      <c r="K266" s="39">
        <f t="shared" ref="K266:K273" si="22">G266*H266</f>
        <v>16600</v>
      </c>
      <c r="L266" s="51" t="s">
        <v>36</v>
      </c>
      <c r="M266" s="39">
        <v>0.0</v>
      </c>
      <c r="N266" s="26">
        <f>K274-M274</f>
        <v>6955</v>
      </c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</row>
    <row r="267" ht="18.75" customHeight="1">
      <c r="A267" s="28"/>
      <c r="B267" s="29"/>
      <c r="C267" s="30"/>
      <c r="D267" s="28"/>
      <c r="E267" s="28"/>
      <c r="F267" s="67" t="s">
        <v>37</v>
      </c>
      <c r="G267" s="41">
        <v>150.0</v>
      </c>
      <c r="H267" s="42">
        <v>53.0</v>
      </c>
      <c r="I267" s="43"/>
      <c r="J267" s="44"/>
      <c r="K267" s="45">
        <f t="shared" si="22"/>
        <v>7950</v>
      </c>
      <c r="L267" s="41" t="s">
        <v>38</v>
      </c>
      <c r="M267" s="45">
        <v>200.0</v>
      </c>
      <c r="N267" s="35" t="s">
        <v>20</v>
      </c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</row>
    <row r="268" ht="18.75" customHeight="1">
      <c r="A268" s="28"/>
      <c r="B268" s="29"/>
      <c r="C268" s="30"/>
      <c r="D268" s="28"/>
      <c r="E268" s="28"/>
      <c r="F268" s="68" t="s">
        <v>39</v>
      </c>
      <c r="G268" s="51">
        <v>150.0</v>
      </c>
      <c r="H268" s="42"/>
      <c r="I268" s="48"/>
      <c r="J268" s="38"/>
      <c r="K268" s="39">
        <f t="shared" si="22"/>
        <v>0</v>
      </c>
      <c r="L268" s="58" t="s">
        <v>40</v>
      </c>
      <c r="M268" s="25">
        <v>400.0</v>
      </c>
      <c r="N268" s="28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</row>
    <row r="269" ht="18.75" customHeight="1">
      <c r="A269" s="28"/>
      <c r="B269" s="29"/>
      <c r="C269" s="30"/>
      <c r="D269" s="28"/>
      <c r="E269" s="28"/>
      <c r="F269" s="40" t="s">
        <v>41</v>
      </c>
      <c r="G269" s="41">
        <v>100.0</v>
      </c>
      <c r="H269" s="42">
        <v>1.0</v>
      </c>
      <c r="I269" s="43"/>
      <c r="J269" s="44"/>
      <c r="K269" s="45">
        <f t="shared" si="22"/>
        <v>100</v>
      </c>
      <c r="L269" s="65" t="s">
        <v>42</v>
      </c>
      <c r="M269" s="34">
        <v>4000.0</v>
      </c>
      <c r="N269" s="28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</row>
    <row r="270" ht="18.75" customHeight="1">
      <c r="A270" s="28"/>
      <c r="B270" s="29"/>
      <c r="C270" s="30"/>
      <c r="D270" s="28"/>
      <c r="E270" s="28"/>
      <c r="F270" s="47" t="s">
        <v>43</v>
      </c>
      <c r="G270" s="41">
        <v>200.0</v>
      </c>
      <c r="H270" s="43"/>
      <c r="I270" s="48"/>
      <c r="J270" s="38"/>
      <c r="K270" s="39">
        <f t="shared" si="22"/>
        <v>0</v>
      </c>
      <c r="L270" s="58" t="s">
        <v>44</v>
      </c>
      <c r="M270" s="25">
        <f>10470</f>
        <v>10470</v>
      </c>
      <c r="N270" s="28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</row>
    <row r="271" ht="18.75" customHeight="1">
      <c r="A271" s="28"/>
      <c r="B271" s="29"/>
      <c r="C271" s="30"/>
      <c r="D271" s="28"/>
      <c r="E271" s="28"/>
      <c r="F271" s="50" t="s">
        <v>45</v>
      </c>
      <c r="G271" s="51">
        <v>150.0</v>
      </c>
      <c r="H271" s="43"/>
      <c r="I271" s="48"/>
      <c r="J271" s="38"/>
      <c r="K271" s="39">
        <f t="shared" si="22"/>
        <v>0</v>
      </c>
      <c r="L271" s="65" t="s">
        <v>46</v>
      </c>
      <c r="M271" s="45">
        <f>550+220+630+550+100+500+75</f>
        <v>2625</v>
      </c>
      <c r="N271" s="28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</row>
    <row r="272" ht="18.75" customHeight="1">
      <c r="A272" s="28"/>
      <c r="B272" s="29"/>
      <c r="C272" s="30"/>
      <c r="D272" s="28"/>
      <c r="E272" s="28"/>
      <c r="F272" s="52" t="s">
        <v>47</v>
      </c>
      <c r="G272" s="53"/>
      <c r="H272" s="54"/>
      <c r="I272" s="48"/>
      <c r="J272" s="38"/>
      <c r="K272" s="45">
        <f t="shared" si="22"/>
        <v>0</v>
      </c>
      <c r="L272" s="58" t="s">
        <v>48</v>
      </c>
      <c r="M272" s="34"/>
      <c r="N272" s="28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</row>
    <row r="273" ht="18.75" customHeight="1">
      <c r="A273" s="28"/>
      <c r="B273" s="29"/>
      <c r="C273" s="30"/>
      <c r="D273" s="28"/>
      <c r="E273" s="59"/>
      <c r="F273" s="63" t="s">
        <v>49</v>
      </c>
      <c r="G273" s="38"/>
      <c r="H273" s="48"/>
      <c r="I273" s="43"/>
      <c r="J273" s="38"/>
      <c r="K273" s="39">
        <f t="shared" si="22"/>
        <v>0</v>
      </c>
      <c r="L273" s="58" t="s">
        <v>78</v>
      </c>
      <c r="M273" s="38"/>
      <c r="N273" s="59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</row>
    <row r="274" ht="18.75" customHeight="1">
      <c r="A274" s="28"/>
      <c r="B274" s="29"/>
      <c r="C274" s="30"/>
      <c r="D274" s="28"/>
      <c r="E274" s="72">
        <f>N284</f>
        <v>197340</v>
      </c>
      <c r="F274" s="98" t="s">
        <v>108</v>
      </c>
      <c r="G274" s="2"/>
      <c r="H274" s="3"/>
      <c r="I274" s="43"/>
      <c r="J274" s="44"/>
      <c r="K274" s="64">
        <f>SUM(K266:K273)</f>
        <v>24650</v>
      </c>
      <c r="L274" s="65" t="s">
        <v>33</v>
      </c>
      <c r="M274" s="64">
        <f>SUM(M266:M273)</f>
        <v>17695</v>
      </c>
      <c r="N274" s="26">
        <f>E274+K274-M274</f>
        <v>204295</v>
      </c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</row>
    <row r="275" ht="63.0" customHeight="1">
      <c r="A275" s="59"/>
      <c r="B275" s="60"/>
      <c r="C275" s="61"/>
      <c r="D275" s="59"/>
      <c r="E275" s="63" t="s">
        <v>109</v>
      </c>
      <c r="F275" s="70" t="s">
        <v>126</v>
      </c>
      <c r="G275" s="2"/>
      <c r="H275" s="2"/>
      <c r="I275" s="2"/>
      <c r="J275" s="2"/>
      <c r="K275" s="2"/>
      <c r="L275" s="2"/>
      <c r="M275" s="2"/>
      <c r="N275" s="3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</row>
    <row r="276" ht="18.75" customHeight="1">
      <c r="A276" s="13">
        <v>1206.0</v>
      </c>
      <c r="B276" s="14">
        <v>45934.0</v>
      </c>
      <c r="C276" s="15"/>
      <c r="D276" s="16" t="s">
        <v>127</v>
      </c>
      <c r="E276" s="71" t="s">
        <v>15</v>
      </c>
      <c r="F276" s="40" t="s">
        <v>35</v>
      </c>
      <c r="G276" s="51">
        <v>200.0</v>
      </c>
      <c r="H276" s="66">
        <v>69.0</v>
      </c>
      <c r="I276" s="48"/>
      <c r="J276" s="38"/>
      <c r="K276" s="39">
        <f t="shared" ref="K276:K283" si="23">G276*H276</f>
        <v>13800</v>
      </c>
      <c r="L276" s="51" t="s">
        <v>36</v>
      </c>
      <c r="M276" s="39">
        <v>0.0</v>
      </c>
      <c r="N276" s="26">
        <f>K284-M284</f>
        <v>2690</v>
      </c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</row>
    <row r="277" ht="18.75" customHeight="1">
      <c r="A277" s="28"/>
      <c r="B277" s="29"/>
      <c r="C277" s="30"/>
      <c r="D277" s="28"/>
      <c r="E277" s="28"/>
      <c r="F277" s="67" t="s">
        <v>37</v>
      </c>
      <c r="G277" s="41">
        <v>150.0</v>
      </c>
      <c r="H277" s="42">
        <v>47.0</v>
      </c>
      <c r="I277" s="43"/>
      <c r="J277" s="44"/>
      <c r="K277" s="45">
        <f t="shared" si="23"/>
        <v>7050</v>
      </c>
      <c r="L277" s="41" t="s">
        <v>38</v>
      </c>
      <c r="M277" s="45">
        <v>200.0</v>
      </c>
      <c r="N277" s="35" t="s">
        <v>20</v>
      </c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</row>
    <row r="278" ht="18.75" customHeight="1">
      <c r="A278" s="28"/>
      <c r="B278" s="29"/>
      <c r="C278" s="30"/>
      <c r="D278" s="28"/>
      <c r="E278" s="28"/>
      <c r="F278" s="68" t="s">
        <v>39</v>
      </c>
      <c r="G278" s="51">
        <v>150.0</v>
      </c>
      <c r="H278" s="42"/>
      <c r="I278" s="48"/>
      <c r="J278" s="38"/>
      <c r="K278" s="39">
        <f t="shared" si="23"/>
        <v>0</v>
      </c>
      <c r="L278" s="58" t="s">
        <v>40</v>
      </c>
      <c r="M278" s="25">
        <v>350.0</v>
      </c>
      <c r="N278" s="28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</row>
    <row r="279" ht="18.75" customHeight="1">
      <c r="A279" s="28"/>
      <c r="B279" s="29"/>
      <c r="C279" s="30"/>
      <c r="D279" s="28"/>
      <c r="E279" s="28"/>
      <c r="F279" s="40" t="s">
        <v>41</v>
      </c>
      <c r="G279" s="41">
        <v>100.0</v>
      </c>
      <c r="H279" s="42">
        <v>1.0</v>
      </c>
      <c r="I279" s="43"/>
      <c r="J279" s="44"/>
      <c r="K279" s="45">
        <f t="shared" si="23"/>
        <v>100</v>
      </c>
      <c r="L279" s="65" t="s">
        <v>42</v>
      </c>
      <c r="M279" s="34">
        <v>3500.0</v>
      </c>
      <c r="N279" s="28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</row>
    <row r="280" ht="18.75" customHeight="1">
      <c r="A280" s="28"/>
      <c r="B280" s="29"/>
      <c r="C280" s="30"/>
      <c r="D280" s="28"/>
      <c r="E280" s="28"/>
      <c r="F280" s="47" t="s">
        <v>43</v>
      </c>
      <c r="G280" s="41">
        <v>200.0</v>
      </c>
      <c r="H280" s="43"/>
      <c r="I280" s="48"/>
      <c r="J280" s="38"/>
      <c r="K280" s="39">
        <f t="shared" si="23"/>
        <v>0</v>
      </c>
      <c r="L280" s="58" t="s">
        <v>44</v>
      </c>
      <c r="M280" s="25">
        <f>8730</f>
        <v>8730</v>
      </c>
      <c r="N280" s="28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</row>
    <row r="281" ht="18.75" customHeight="1">
      <c r="A281" s="28"/>
      <c r="B281" s="29"/>
      <c r="C281" s="30"/>
      <c r="D281" s="28"/>
      <c r="E281" s="28"/>
      <c r="F281" s="50" t="s">
        <v>45</v>
      </c>
      <c r="G281" s="51">
        <v>150.0</v>
      </c>
      <c r="H281" s="43"/>
      <c r="I281" s="48"/>
      <c r="J281" s="38"/>
      <c r="K281" s="39">
        <f t="shared" si="23"/>
        <v>0</v>
      </c>
      <c r="L281" s="65" t="s">
        <v>46</v>
      </c>
      <c r="M281" s="45">
        <f>550+110+270+550+100+500</f>
        <v>2080</v>
      </c>
      <c r="N281" s="28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</row>
    <row r="282" ht="18.75" customHeight="1">
      <c r="A282" s="28"/>
      <c r="B282" s="29"/>
      <c r="C282" s="30"/>
      <c r="D282" s="28"/>
      <c r="E282" s="28"/>
      <c r="F282" s="52" t="s">
        <v>47</v>
      </c>
      <c r="G282" s="53"/>
      <c r="H282" s="54"/>
      <c r="I282" s="48"/>
      <c r="J282" s="38"/>
      <c r="K282" s="45">
        <f t="shared" si="23"/>
        <v>0</v>
      </c>
      <c r="L282" s="58" t="s">
        <v>48</v>
      </c>
      <c r="M282" s="34">
        <f>1200+2200</f>
        <v>3400</v>
      </c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</row>
    <row r="283" ht="18.75" customHeight="1">
      <c r="A283" s="28"/>
      <c r="B283" s="29"/>
      <c r="C283" s="30"/>
      <c r="D283" s="28"/>
      <c r="E283" s="59"/>
      <c r="F283" s="63" t="s">
        <v>49</v>
      </c>
      <c r="G283" s="38"/>
      <c r="H283" s="48"/>
      <c r="I283" s="43"/>
      <c r="J283" s="38"/>
      <c r="K283" s="39">
        <f t="shared" si="23"/>
        <v>0</v>
      </c>
      <c r="L283" s="58" t="s">
        <v>78</v>
      </c>
      <c r="M283" s="38"/>
      <c r="N283" s="59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</row>
    <row r="284" ht="18.75" customHeight="1">
      <c r="A284" s="28"/>
      <c r="B284" s="29"/>
      <c r="C284" s="30"/>
      <c r="D284" s="28"/>
      <c r="E284" s="72">
        <f>N294</f>
        <v>194650</v>
      </c>
      <c r="F284" s="98" t="s">
        <v>108</v>
      </c>
      <c r="G284" s="2"/>
      <c r="H284" s="3"/>
      <c r="I284" s="43"/>
      <c r="J284" s="44"/>
      <c r="K284" s="64">
        <f>SUM(K276:K283)</f>
        <v>20950</v>
      </c>
      <c r="L284" s="65" t="s">
        <v>33</v>
      </c>
      <c r="M284" s="64">
        <f>SUM(M276:M283)</f>
        <v>18260</v>
      </c>
      <c r="N284" s="26">
        <f>E284+K284-M284</f>
        <v>197340</v>
      </c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</row>
    <row r="285" ht="74.25" customHeight="1">
      <c r="A285" s="59"/>
      <c r="B285" s="60"/>
      <c r="C285" s="61"/>
      <c r="D285" s="59"/>
      <c r="E285" s="63" t="s">
        <v>109</v>
      </c>
      <c r="F285" s="70" t="s">
        <v>128</v>
      </c>
      <c r="G285" s="2"/>
      <c r="H285" s="2"/>
      <c r="I285" s="2"/>
      <c r="J285" s="2"/>
      <c r="K285" s="2"/>
      <c r="L285" s="2"/>
      <c r="M285" s="2"/>
      <c r="N285" s="3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</row>
    <row r="286" ht="18.75" customHeight="1">
      <c r="A286" s="13">
        <v>1205.0</v>
      </c>
      <c r="B286" s="14">
        <v>45927.0</v>
      </c>
      <c r="C286" s="15"/>
      <c r="D286" s="16" t="s">
        <v>129</v>
      </c>
      <c r="E286" s="71" t="s">
        <v>15</v>
      </c>
      <c r="F286" s="40" t="s">
        <v>35</v>
      </c>
      <c r="G286" s="51">
        <v>200.0</v>
      </c>
      <c r="H286" s="66">
        <v>63.0</v>
      </c>
      <c r="I286" s="48"/>
      <c r="J286" s="38"/>
      <c r="K286" s="39">
        <f t="shared" ref="K286:K293" si="24">G286*H286</f>
        <v>12600</v>
      </c>
      <c r="L286" s="51" t="s">
        <v>36</v>
      </c>
      <c r="M286" s="39">
        <v>0.0</v>
      </c>
      <c r="N286" s="26">
        <f>K294-M294</f>
        <v>4740</v>
      </c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</row>
    <row r="287" ht="18.75" customHeight="1">
      <c r="A287" s="28"/>
      <c r="B287" s="29"/>
      <c r="C287" s="30"/>
      <c r="D287" s="28"/>
      <c r="E287" s="28"/>
      <c r="F287" s="67" t="s">
        <v>37</v>
      </c>
      <c r="G287" s="41">
        <v>150.0</v>
      </c>
      <c r="H287" s="42">
        <v>36.0</v>
      </c>
      <c r="I287" s="43"/>
      <c r="J287" s="44"/>
      <c r="K287" s="45">
        <f t="shared" si="24"/>
        <v>5400</v>
      </c>
      <c r="L287" s="41" t="s">
        <v>38</v>
      </c>
      <c r="M287" s="45">
        <v>200.0</v>
      </c>
      <c r="N287" s="35" t="s">
        <v>20</v>
      </c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</row>
    <row r="288" ht="18.75" customHeight="1">
      <c r="A288" s="28"/>
      <c r="B288" s="29"/>
      <c r="C288" s="30"/>
      <c r="D288" s="28"/>
      <c r="E288" s="28"/>
      <c r="F288" s="68" t="s">
        <v>39</v>
      </c>
      <c r="G288" s="51">
        <v>150.0</v>
      </c>
      <c r="H288" s="42"/>
      <c r="I288" s="48"/>
      <c r="J288" s="38"/>
      <c r="K288" s="39">
        <f t="shared" si="24"/>
        <v>0</v>
      </c>
      <c r="L288" s="58" t="s">
        <v>40</v>
      </c>
      <c r="M288" s="25">
        <v>350.0</v>
      </c>
      <c r="N288" s="28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</row>
    <row r="289" ht="18.75" customHeight="1">
      <c r="A289" s="28"/>
      <c r="B289" s="29"/>
      <c r="C289" s="30"/>
      <c r="D289" s="28"/>
      <c r="E289" s="28"/>
      <c r="F289" s="40" t="s">
        <v>41</v>
      </c>
      <c r="G289" s="41">
        <v>100.0</v>
      </c>
      <c r="H289" s="42"/>
      <c r="I289" s="43"/>
      <c r="J289" s="44"/>
      <c r="K289" s="45">
        <f t="shared" si="24"/>
        <v>0</v>
      </c>
      <c r="L289" s="65" t="s">
        <v>42</v>
      </c>
      <c r="M289" s="34">
        <v>3500.0</v>
      </c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</row>
    <row r="290" ht="18.75" customHeight="1">
      <c r="A290" s="28"/>
      <c r="B290" s="29"/>
      <c r="C290" s="30"/>
      <c r="D290" s="28"/>
      <c r="E290" s="28"/>
      <c r="F290" s="47" t="s">
        <v>43</v>
      </c>
      <c r="G290" s="41">
        <v>200.0</v>
      </c>
      <c r="H290" s="43"/>
      <c r="I290" s="48"/>
      <c r="J290" s="38"/>
      <c r="K290" s="39">
        <f t="shared" si="24"/>
        <v>0</v>
      </c>
      <c r="L290" s="58" t="s">
        <v>44</v>
      </c>
      <c r="M290" s="25">
        <f>7610</f>
        <v>7610</v>
      </c>
      <c r="N290" s="28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</row>
    <row r="291" ht="18.75" customHeight="1">
      <c r="A291" s="28"/>
      <c r="B291" s="29"/>
      <c r="C291" s="30"/>
      <c r="D291" s="28"/>
      <c r="E291" s="28"/>
      <c r="F291" s="47" t="s">
        <v>45</v>
      </c>
      <c r="G291" s="51">
        <v>150.0</v>
      </c>
      <c r="H291" s="43"/>
      <c r="I291" s="48"/>
      <c r="J291" s="38"/>
      <c r="K291" s="39">
        <f t="shared" si="24"/>
        <v>0</v>
      </c>
      <c r="L291" s="65" t="s">
        <v>46</v>
      </c>
      <c r="M291" s="45">
        <f>840+1150+180+100</f>
        <v>2270</v>
      </c>
      <c r="N291" s="28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</row>
    <row r="292" ht="18.75" customHeight="1">
      <c r="A292" s="28"/>
      <c r="B292" s="29"/>
      <c r="C292" s="30"/>
      <c r="D292" s="28"/>
      <c r="E292" s="28"/>
      <c r="F292" s="73" t="s">
        <v>130</v>
      </c>
      <c r="G292" s="53">
        <v>670.0</v>
      </c>
      <c r="H292" s="54">
        <v>1.0</v>
      </c>
      <c r="I292" s="48"/>
      <c r="J292" s="38"/>
      <c r="K292" s="45">
        <f t="shared" si="24"/>
        <v>670</v>
      </c>
      <c r="L292" s="58" t="s">
        <v>48</v>
      </c>
      <c r="M292" s="34"/>
      <c r="N292" s="28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</row>
    <row r="293" ht="18.75" customHeight="1">
      <c r="A293" s="28"/>
      <c r="B293" s="29"/>
      <c r="C293" s="30"/>
      <c r="D293" s="28"/>
      <c r="E293" s="59"/>
      <c r="F293" s="63" t="s">
        <v>49</v>
      </c>
      <c r="G293" s="38"/>
      <c r="H293" s="48"/>
      <c r="I293" s="43"/>
      <c r="J293" s="38"/>
      <c r="K293" s="39">
        <f t="shared" si="24"/>
        <v>0</v>
      </c>
      <c r="L293" s="58" t="s">
        <v>78</v>
      </c>
      <c r="M293" s="38"/>
      <c r="N293" s="59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</row>
    <row r="294" ht="18.75" customHeight="1">
      <c r="A294" s="28"/>
      <c r="B294" s="29"/>
      <c r="C294" s="30"/>
      <c r="D294" s="28"/>
      <c r="E294" s="72">
        <f>N304</f>
        <v>189910</v>
      </c>
      <c r="F294" s="98" t="s">
        <v>108</v>
      </c>
      <c r="G294" s="2"/>
      <c r="H294" s="3"/>
      <c r="I294" s="43"/>
      <c r="J294" s="44"/>
      <c r="K294" s="64">
        <f>SUM(K286:K293)</f>
        <v>18670</v>
      </c>
      <c r="L294" s="65" t="s">
        <v>33</v>
      </c>
      <c r="M294" s="64">
        <f>SUM(M286:M293)</f>
        <v>13930</v>
      </c>
      <c r="N294" s="26">
        <f>E294+K294-M294</f>
        <v>194650</v>
      </c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</row>
    <row r="295" ht="71.25" customHeight="1">
      <c r="A295" s="59"/>
      <c r="B295" s="60"/>
      <c r="C295" s="61"/>
      <c r="D295" s="59"/>
      <c r="E295" s="63" t="s">
        <v>109</v>
      </c>
      <c r="F295" s="70" t="s">
        <v>131</v>
      </c>
      <c r="G295" s="2"/>
      <c r="H295" s="2"/>
      <c r="I295" s="2"/>
      <c r="J295" s="2"/>
      <c r="K295" s="2"/>
      <c r="L295" s="2"/>
      <c r="M295" s="2"/>
      <c r="N295" s="3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</row>
    <row r="296" ht="18.75" customHeight="1">
      <c r="A296" s="13">
        <v>1204.0</v>
      </c>
      <c r="B296" s="14">
        <v>45920.0</v>
      </c>
      <c r="C296" s="15"/>
      <c r="D296" s="16" t="s">
        <v>34</v>
      </c>
      <c r="E296" s="71" t="s">
        <v>15</v>
      </c>
      <c r="F296" s="40" t="s">
        <v>35</v>
      </c>
      <c r="G296" s="51">
        <v>200.0</v>
      </c>
      <c r="H296" s="66">
        <v>81.0</v>
      </c>
      <c r="I296" s="48"/>
      <c r="J296" s="38"/>
      <c r="K296" s="39">
        <f t="shared" ref="K296:K303" si="25">G296*H296</f>
        <v>16200</v>
      </c>
      <c r="L296" s="51" t="s">
        <v>36</v>
      </c>
      <c r="M296" s="39">
        <v>0.0</v>
      </c>
      <c r="N296" s="26">
        <f>K304-M304</f>
        <v>4190</v>
      </c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</row>
    <row r="297" ht="18.75" customHeight="1">
      <c r="A297" s="28"/>
      <c r="B297" s="29"/>
      <c r="C297" s="30"/>
      <c r="D297" s="28"/>
      <c r="E297" s="28"/>
      <c r="F297" s="67" t="s">
        <v>37</v>
      </c>
      <c r="G297" s="41">
        <v>150.0</v>
      </c>
      <c r="H297" s="42">
        <v>34.0</v>
      </c>
      <c r="I297" s="43"/>
      <c r="J297" s="44"/>
      <c r="K297" s="45">
        <f t="shared" si="25"/>
        <v>5100</v>
      </c>
      <c r="L297" s="41" t="s">
        <v>38</v>
      </c>
      <c r="M297" s="45">
        <v>200.0</v>
      </c>
      <c r="N297" s="35" t="s">
        <v>20</v>
      </c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</row>
    <row r="298" ht="18.75" customHeight="1">
      <c r="A298" s="28"/>
      <c r="B298" s="29"/>
      <c r="C298" s="30"/>
      <c r="D298" s="28"/>
      <c r="E298" s="28"/>
      <c r="F298" s="68" t="s">
        <v>39</v>
      </c>
      <c r="G298" s="51">
        <v>150.0</v>
      </c>
      <c r="H298" s="42"/>
      <c r="I298" s="48"/>
      <c r="J298" s="38"/>
      <c r="K298" s="39">
        <f t="shared" si="25"/>
        <v>0</v>
      </c>
      <c r="L298" s="58" t="s">
        <v>40</v>
      </c>
      <c r="M298" s="25">
        <v>350.0</v>
      </c>
      <c r="N298" s="28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</row>
    <row r="299" ht="18.75" customHeight="1">
      <c r="A299" s="28"/>
      <c r="B299" s="29"/>
      <c r="C299" s="30"/>
      <c r="D299" s="28"/>
      <c r="E299" s="28"/>
      <c r="F299" s="40" t="s">
        <v>41</v>
      </c>
      <c r="G299" s="41">
        <v>100.0</v>
      </c>
      <c r="H299" s="42">
        <v>1.0</v>
      </c>
      <c r="I299" s="43"/>
      <c r="J299" s="44"/>
      <c r="K299" s="45">
        <f t="shared" si="25"/>
        <v>100</v>
      </c>
      <c r="L299" s="65" t="s">
        <v>42</v>
      </c>
      <c r="M299" s="34">
        <v>4000.0</v>
      </c>
      <c r="N299" s="28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</row>
    <row r="300" ht="18.75" customHeight="1">
      <c r="A300" s="28"/>
      <c r="B300" s="29"/>
      <c r="C300" s="30"/>
      <c r="D300" s="28"/>
      <c r="E300" s="28"/>
      <c r="F300" s="47" t="s">
        <v>43</v>
      </c>
      <c r="G300" s="41">
        <v>200.0</v>
      </c>
      <c r="H300" s="43"/>
      <c r="I300" s="48"/>
      <c r="J300" s="38"/>
      <c r="K300" s="39">
        <f t="shared" si="25"/>
        <v>0</v>
      </c>
      <c r="L300" s="58" t="s">
        <v>44</v>
      </c>
      <c r="M300" s="25">
        <f>9080</f>
        <v>9080</v>
      </c>
      <c r="N300" s="28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</row>
    <row r="301" ht="18.75" customHeight="1">
      <c r="A301" s="28"/>
      <c r="B301" s="29"/>
      <c r="C301" s="30"/>
      <c r="D301" s="28"/>
      <c r="E301" s="28"/>
      <c r="F301" s="47" t="s">
        <v>45</v>
      </c>
      <c r="G301" s="51">
        <v>150.0</v>
      </c>
      <c r="H301" s="43"/>
      <c r="I301" s="48"/>
      <c r="J301" s="38"/>
      <c r="K301" s="39">
        <f t="shared" si="25"/>
        <v>0</v>
      </c>
      <c r="L301" s="65" t="s">
        <v>46</v>
      </c>
      <c r="M301" s="45">
        <f>1220+1270+1200</f>
        <v>3690</v>
      </c>
      <c r="N301" s="28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</row>
    <row r="302" ht="18.75" customHeight="1">
      <c r="A302" s="28"/>
      <c r="B302" s="29"/>
      <c r="C302" s="30"/>
      <c r="D302" s="28"/>
      <c r="E302" s="28"/>
      <c r="F302" s="73" t="s">
        <v>68</v>
      </c>
      <c r="G302" s="53">
        <v>110.0</v>
      </c>
      <c r="H302" s="54">
        <v>1.0</v>
      </c>
      <c r="I302" s="48"/>
      <c r="J302" s="38"/>
      <c r="K302" s="45">
        <f t="shared" si="25"/>
        <v>110</v>
      </c>
      <c r="L302" s="58" t="s">
        <v>48</v>
      </c>
      <c r="M302" s="34"/>
      <c r="N302" s="28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</row>
    <row r="303" ht="18.75" customHeight="1">
      <c r="A303" s="28"/>
      <c r="B303" s="29"/>
      <c r="C303" s="30"/>
      <c r="D303" s="28"/>
      <c r="E303" s="59"/>
      <c r="F303" s="63" t="s">
        <v>49</v>
      </c>
      <c r="G303" s="38"/>
      <c r="H303" s="48"/>
      <c r="I303" s="43"/>
      <c r="J303" s="38"/>
      <c r="K303" s="39">
        <f t="shared" si="25"/>
        <v>0</v>
      </c>
      <c r="L303" s="58" t="s">
        <v>78</v>
      </c>
      <c r="M303" s="38"/>
      <c r="N303" s="59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</row>
    <row r="304" ht="18.75" customHeight="1">
      <c r="A304" s="28"/>
      <c r="B304" s="29"/>
      <c r="C304" s="30"/>
      <c r="D304" s="28"/>
      <c r="E304" s="72">
        <f>N314</f>
        <v>185720</v>
      </c>
      <c r="F304" s="98" t="s">
        <v>108</v>
      </c>
      <c r="G304" s="2"/>
      <c r="H304" s="3"/>
      <c r="I304" s="43"/>
      <c r="J304" s="44"/>
      <c r="K304" s="64">
        <f>SUM(K296:K303)</f>
        <v>21510</v>
      </c>
      <c r="L304" s="65" t="s">
        <v>33</v>
      </c>
      <c r="M304" s="64">
        <f>SUM(M296:M303)</f>
        <v>17320</v>
      </c>
      <c r="N304" s="26">
        <f>E304+K304-M304</f>
        <v>189910</v>
      </c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</row>
    <row r="305" ht="39.0" customHeight="1">
      <c r="A305" s="59"/>
      <c r="B305" s="60"/>
      <c r="C305" s="61"/>
      <c r="D305" s="59"/>
      <c r="E305" s="63" t="s">
        <v>109</v>
      </c>
      <c r="F305" s="70" t="s">
        <v>132</v>
      </c>
      <c r="G305" s="2"/>
      <c r="H305" s="2"/>
      <c r="I305" s="2"/>
      <c r="J305" s="2"/>
      <c r="K305" s="2"/>
      <c r="L305" s="2"/>
      <c r="M305" s="2"/>
      <c r="N305" s="3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</row>
    <row r="306" ht="18.75" customHeight="1">
      <c r="A306" s="13">
        <v>1203.0</v>
      </c>
      <c r="B306" s="14">
        <v>45913.0</v>
      </c>
      <c r="C306" s="15"/>
      <c r="D306" s="16" t="s">
        <v>54</v>
      </c>
      <c r="E306" s="71" t="s">
        <v>15</v>
      </c>
      <c r="F306" s="40" t="s">
        <v>35</v>
      </c>
      <c r="G306" s="51">
        <v>200.0</v>
      </c>
      <c r="H306" s="66">
        <v>84.0</v>
      </c>
      <c r="I306" s="48"/>
      <c r="J306" s="38"/>
      <c r="K306" s="39">
        <f t="shared" ref="K306:K313" si="26">G306*H306</f>
        <v>16800</v>
      </c>
      <c r="L306" s="51" t="s">
        <v>36</v>
      </c>
      <c r="M306" s="39">
        <v>0.0</v>
      </c>
      <c r="N306" s="26">
        <f>K314-M314</f>
        <v>-2917</v>
      </c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</row>
    <row r="307" ht="18.75" customHeight="1">
      <c r="A307" s="28"/>
      <c r="B307" s="29"/>
      <c r="C307" s="30"/>
      <c r="D307" s="28"/>
      <c r="E307" s="28"/>
      <c r="F307" s="67" t="s">
        <v>37</v>
      </c>
      <c r="G307" s="41">
        <v>150.0</v>
      </c>
      <c r="H307" s="42">
        <v>50.0</v>
      </c>
      <c r="I307" s="43"/>
      <c r="J307" s="44"/>
      <c r="K307" s="45">
        <f t="shared" si="26"/>
        <v>7500</v>
      </c>
      <c r="L307" s="41" t="s">
        <v>38</v>
      </c>
      <c r="M307" s="45">
        <v>200.0</v>
      </c>
      <c r="N307" s="35" t="s">
        <v>20</v>
      </c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</row>
    <row r="308" ht="18.75" customHeight="1">
      <c r="A308" s="28"/>
      <c r="B308" s="29"/>
      <c r="C308" s="30"/>
      <c r="D308" s="28"/>
      <c r="E308" s="28"/>
      <c r="F308" s="68" t="s">
        <v>39</v>
      </c>
      <c r="G308" s="51">
        <v>150.0</v>
      </c>
      <c r="H308" s="42"/>
      <c r="I308" s="48"/>
      <c r="J308" s="38"/>
      <c r="K308" s="39">
        <f t="shared" si="26"/>
        <v>0</v>
      </c>
      <c r="L308" s="58" t="s">
        <v>40</v>
      </c>
      <c r="M308" s="25">
        <v>400.0</v>
      </c>
      <c r="N308" s="28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</row>
    <row r="309" ht="18.75" customHeight="1">
      <c r="A309" s="28"/>
      <c r="B309" s="29"/>
      <c r="C309" s="30"/>
      <c r="D309" s="28"/>
      <c r="E309" s="28"/>
      <c r="F309" s="40" t="s">
        <v>41</v>
      </c>
      <c r="G309" s="41">
        <v>100.0</v>
      </c>
      <c r="H309" s="42"/>
      <c r="I309" s="43"/>
      <c r="J309" s="44"/>
      <c r="K309" s="45">
        <f t="shared" si="26"/>
        <v>0</v>
      </c>
      <c r="L309" s="65" t="s">
        <v>42</v>
      </c>
      <c r="M309" s="34">
        <v>3500.0</v>
      </c>
      <c r="N309" s="28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</row>
    <row r="310" ht="18.75" customHeight="1">
      <c r="A310" s="28"/>
      <c r="B310" s="29"/>
      <c r="C310" s="30"/>
      <c r="D310" s="28"/>
      <c r="E310" s="28"/>
      <c r="F310" s="47" t="s">
        <v>43</v>
      </c>
      <c r="G310" s="41">
        <v>200.0</v>
      </c>
      <c r="H310" s="43"/>
      <c r="I310" s="48"/>
      <c r="J310" s="38"/>
      <c r="K310" s="39">
        <f t="shared" si="26"/>
        <v>0</v>
      </c>
      <c r="L310" s="58" t="s">
        <v>44</v>
      </c>
      <c r="M310" s="25">
        <f>9440</f>
        <v>9440</v>
      </c>
      <c r="N310" s="28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</row>
    <row r="311" ht="18.75" customHeight="1">
      <c r="A311" s="28"/>
      <c r="B311" s="29"/>
      <c r="C311" s="30"/>
      <c r="D311" s="28"/>
      <c r="E311" s="28"/>
      <c r="F311" s="47" t="s">
        <v>45</v>
      </c>
      <c r="G311" s="51">
        <v>150.0</v>
      </c>
      <c r="H311" s="43"/>
      <c r="I311" s="48"/>
      <c r="J311" s="38"/>
      <c r="K311" s="39">
        <f t="shared" si="26"/>
        <v>0</v>
      </c>
      <c r="L311" s="65" t="s">
        <v>46</v>
      </c>
      <c r="M311" s="45">
        <f>840+1380+95+180+1200</f>
        <v>3695</v>
      </c>
      <c r="N311" s="28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</row>
    <row r="312" ht="18.75" customHeight="1">
      <c r="A312" s="28"/>
      <c r="B312" s="29"/>
      <c r="C312" s="30"/>
      <c r="D312" s="28"/>
      <c r="E312" s="28"/>
      <c r="F312" s="73" t="s">
        <v>68</v>
      </c>
      <c r="G312" s="53">
        <v>110.0</v>
      </c>
      <c r="H312" s="54"/>
      <c r="I312" s="48"/>
      <c r="J312" s="38"/>
      <c r="K312" s="45">
        <f t="shared" si="26"/>
        <v>0</v>
      </c>
      <c r="L312" s="58" t="s">
        <v>48</v>
      </c>
      <c r="M312" s="34">
        <f>1880+1510+5900+692</f>
        <v>9982</v>
      </c>
      <c r="N312" s="28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</row>
    <row r="313" ht="18.75" customHeight="1">
      <c r="A313" s="28"/>
      <c r="B313" s="29"/>
      <c r="C313" s="30"/>
      <c r="D313" s="28"/>
      <c r="E313" s="59"/>
      <c r="F313" s="63" t="s">
        <v>49</v>
      </c>
      <c r="G313" s="38"/>
      <c r="H313" s="48"/>
      <c r="I313" s="43"/>
      <c r="J313" s="38"/>
      <c r="K313" s="39">
        <f t="shared" si="26"/>
        <v>0</v>
      </c>
      <c r="L313" s="58" t="s">
        <v>78</v>
      </c>
      <c r="M313" s="38"/>
      <c r="N313" s="59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</row>
    <row r="314" ht="18.75" customHeight="1">
      <c r="A314" s="28"/>
      <c r="B314" s="29"/>
      <c r="C314" s="30"/>
      <c r="D314" s="28"/>
      <c r="E314" s="72">
        <f>N324</f>
        <v>188637</v>
      </c>
      <c r="F314" s="98" t="s">
        <v>108</v>
      </c>
      <c r="G314" s="2"/>
      <c r="H314" s="3"/>
      <c r="I314" s="43"/>
      <c r="J314" s="44"/>
      <c r="K314" s="64">
        <f>SUM(K306:K313)</f>
        <v>24300</v>
      </c>
      <c r="L314" s="65" t="s">
        <v>33</v>
      </c>
      <c r="M314" s="64">
        <f>SUM(M306:M313)</f>
        <v>27217</v>
      </c>
      <c r="N314" s="26">
        <f>E314+K314-M314</f>
        <v>185720</v>
      </c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</row>
    <row r="315" ht="107.25" customHeight="1">
      <c r="A315" s="59"/>
      <c r="B315" s="60"/>
      <c r="C315" s="61"/>
      <c r="D315" s="59"/>
      <c r="E315" s="63" t="s">
        <v>109</v>
      </c>
      <c r="F315" s="70" t="s">
        <v>133</v>
      </c>
      <c r="G315" s="2"/>
      <c r="H315" s="2"/>
      <c r="I315" s="2"/>
      <c r="J315" s="2"/>
      <c r="K315" s="2"/>
      <c r="L315" s="2"/>
      <c r="M315" s="2"/>
      <c r="N315" s="3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</row>
    <row r="316" ht="18.75" customHeight="1">
      <c r="A316" s="13">
        <v>1202.0</v>
      </c>
      <c r="B316" s="14">
        <v>45906.0</v>
      </c>
      <c r="C316" s="15"/>
      <c r="D316" s="16" t="s">
        <v>111</v>
      </c>
      <c r="E316" s="71" t="s">
        <v>15</v>
      </c>
      <c r="F316" s="40" t="s">
        <v>35</v>
      </c>
      <c r="G316" s="51">
        <v>200.0</v>
      </c>
      <c r="H316" s="66">
        <v>95.0</v>
      </c>
      <c r="I316" s="48"/>
      <c r="J316" s="38"/>
      <c r="K316" s="39">
        <f t="shared" ref="K316:K323" si="27">G316*H316</f>
        <v>19000</v>
      </c>
      <c r="L316" s="51" t="s">
        <v>36</v>
      </c>
      <c r="M316" s="39">
        <v>0.0</v>
      </c>
      <c r="N316" s="26">
        <f>K324-M324</f>
        <v>-60</v>
      </c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</row>
    <row r="317" ht="18.75" customHeight="1">
      <c r="A317" s="28"/>
      <c r="B317" s="29"/>
      <c r="C317" s="30"/>
      <c r="D317" s="28"/>
      <c r="E317" s="28"/>
      <c r="F317" s="67" t="s">
        <v>37</v>
      </c>
      <c r="G317" s="41">
        <v>150.0</v>
      </c>
      <c r="H317" s="42">
        <v>60.0</v>
      </c>
      <c r="I317" s="43"/>
      <c r="J317" s="44"/>
      <c r="K317" s="45">
        <f t="shared" si="27"/>
        <v>9000</v>
      </c>
      <c r="L317" s="41" t="s">
        <v>38</v>
      </c>
      <c r="M317" s="45">
        <v>200.0</v>
      </c>
      <c r="N317" s="35" t="s">
        <v>20</v>
      </c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</row>
    <row r="318" ht="18.75" customHeight="1">
      <c r="A318" s="28"/>
      <c r="B318" s="29"/>
      <c r="C318" s="30"/>
      <c r="D318" s="28"/>
      <c r="E318" s="28"/>
      <c r="F318" s="68" t="s">
        <v>39</v>
      </c>
      <c r="G318" s="51">
        <v>150.0</v>
      </c>
      <c r="H318" s="42"/>
      <c r="I318" s="48"/>
      <c r="J318" s="38"/>
      <c r="K318" s="39">
        <f t="shared" si="27"/>
        <v>0</v>
      </c>
      <c r="L318" s="58" t="s">
        <v>40</v>
      </c>
      <c r="M318" s="25">
        <v>350.0</v>
      </c>
      <c r="N318" s="2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</row>
    <row r="319" ht="18.75" customHeight="1">
      <c r="A319" s="28"/>
      <c r="B319" s="29"/>
      <c r="C319" s="30"/>
      <c r="D319" s="28"/>
      <c r="E319" s="28"/>
      <c r="F319" s="40" t="s">
        <v>41</v>
      </c>
      <c r="G319" s="41">
        <v>100.0</v>
      </c>
      <c r="H319" s="42"/>
      <c r="I319" s="43"/>
      <c r="J319" s="44"/>
      <c r="K319" s="45">
        <f t="shared" si="27"/>
        <v>0</v>
      </c>
      <c r="L319" s="65" t="s">
        <v>42</v>
      </c>
      <c r="M319" s="34">
        <v>3500.0</v>
      </c>
      <c r="N319" s="28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</row>
    <row r="320" ht="18.75" customHeight="1">
      <c r="A320" s="28"/>
      <c r="B320" s="29"/>
      <c r="C320" s="30"/>
      <c r="D320" s="28"/>
      <c r="E320" s="28"/>
      <c r="F320" s="47" t="s">
        <v>43</v>
      </c>
      <c r="G320" s="41">
        <v>200.0</v>
      </c>
      <c r="H320" s="43"/>
      <c r="I320" s="48"/>
      <c r="J320" s="38"/>
      <c r="K320" s="39">
        <f t="shared" si="27"/>
        <v>0</v>
      </c>
      <c r="L320" s="58" t="s">
        <v>44</v>
      </c>
      <c r="M320" s="25">
        <f>12390</f>
        <v>12390</v>
      </c>
      <c r="N320" s="28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</row>
    <row r="321" ht="18.75" customHeight="1">
      <c r="A321" s="28"/>
      <c r="B321" s="29"/>
      <c r="C321" s="30"/>
      <c r="D321" s="28"/>
      <c r="E321" s="28"/>
      <c r="F321" s="47" t="s">
        <v>45</v>
      </c>
      <c r="G321" s="51">
        <v>150.0</v>
      </c>
      <c r="H321" s="43"/>
      <c r="I321" s="48"/>
      <c r="J321" s="38"/>
      <c r="K321" s="39">
        <f t="shared" si="27"/>
        <v>0</v>
      </c>
      <c r="L321" s="65" t="s">
        <v>46</v>
      </c>
      <c r="M321" s="45">
        <f>1110+1380+130</f>
        <v>2620</v>
      </c>
      <c r="N321" s="28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</row>
    <row r="322" ht="18.75" customHeight="1">
      <c r="A322" s="28"/>
      <c r="B322" s="29"/>
      <c r="C322" s="30"/>
      <c r="D322" s="28"/>
      <c r="E322" s="28"/>
      <c r="F322" s="73" t="s">
        <v>68</v>
      </c>
      <c r="G322" s="53">
        <v>110.0</v>
      </c>
      <c r="H322" s="54"/>
      <c r="I322" s="48"/>
      <c r="J322" s="38"/>
      <c r="K322" s="45">
        <f t="shared" si="27"/>
        <v>0</v>
      </c>
      <c r="L322" s="58" t="s">
        <v>48</v>
      </c>
      <c r="M322" s="34">
        <f>6800+2200</f>
        <v>9000</v>
      </c>
      <c r="N322" s="28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</row>
    <row r="323" ht="18.75" customHeight="1">
      <c r="A323" s="28"/>
      <c r="B323" s="29"/>
      <c r="C323" s="30"/>
      <c r="D323" s="28"/>
      <c r="E323" s="59"/>
      <c r="F323" s="63" t="s">
        <v>49</v>
      </c>
      <c r="G323" s="38"/>
      <c r="H323" s="48"/>
      <c r="I323" s="43"/>
      <c r="J323" s="38"/>
      <c r="K323" s="39">
        <f t="shared" si="27"/>
        <v>0</v>
      </c>
      <c r="L323" s="58" t="s">
        <v>78</v>
      </c>
      <c r="M323" s="38"/>
      <c r="N323" s="59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</row>
    <row r="324" ht="18.75" customHeight="1">
      <c r="A324" s="28"/>
      <c r="B324" s="29"/>
      <c r="C324" s="30"/>
      <c r="D324" s="28"/>
      <c r="E324" s="72">
        <f>N334</f>
        <v>188697</v>
      </c>
      <c r="F324" s="98" t="s">
        <v>108</v>
      </c>
      <c r="G324" s="2"/>
      <c r="H324" s="3"/>
      <c r="I324" s="43"/>
      <c r="J324" s="44"/>
      <c r="K324" s="64">
        <f>SUM(K316:K323)</f>
        <v>28000</v>
      </c>
      <c r="L324" s="65" t="s">
        <v>33</v>
      </c>
      <c r="M324" s="64">
        <f>SUM(M316:M323)</f>
        <v>28060</v>
      </c>
      <c r="N324" s="26">
        <f>E324+K324-M324</f>
        <v>188637</v>
      </c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</row>
    <row r="325" ht="69.75" customHeight="1">
      <c r="A325" s="59"/>
      <c r="B325" s="60"/>
      <c r="C325" s="61"/>
      <c r="D325" s="59"/>
      <c r="E325" s="63" t="s">
        <v>109</v>
      </c>
      <c r="F325" s="70" t="s">
        <v>134</v>
      </c>
      <c r="G325" s="2"/>
      <c r="H325" s="2"/>
      <c r="I325" s="2"/>
      <c r="J325" s="2"/>
      <c r="K325" s="2"/>
      <c r="L325" s="2"/>
      <c r="M325" s="2"/>
      <c r="N325" s="3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</row>
    <row r="326" ht="18.75" customHeight="1">
      <c r="A326" s="13">
        <v>1201.0</v>
      </c>
      <c r="B326" s="14">
        <v>45899.0</v>
      </c>
      <c r="C326" s="15"/>
      <c r="D326" s="16" t="s">
        <v>135</v>
      </c>
      <c r="E326" s="71" t="s">
        <v>15</v>
      </c>
      <c r="F326" s="40" t="s">
        <v>35</v>
      </c>
      <c r="G326" s="51">
        <v>200.0</v>
      </c>
      <c r="H326" s="66">
        <v>65.0</v>
      </c>
      <c r="I326" s="48"/>
      <c r="J326" s="38"/>
      <c r="K326" s="39">
        <f t="shared" ref="K326:K333" si="28">G326*H326</f>
        <v>13000</v>
      </c>
      <c r="L326" s="51" t="s">
        <v>36</v>
      </c>
      <c r="M326" s="39">
        <v>0.0</v>
      </c>
      <c r="N326" s="26">
        <f>K334-M334</f>
        <v>6295</v>
      </c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</row>
    <row r="327" ht="18.75" customHeight="1">
      <c r="A327" s="28"/>
      <c r="B327" s="29"/>
      <c r="C327" s="30"/>
      <c r="D327" s="28"/>
      <c r="E327" s="28"/>
      <c r="F327" s="67" t="s">
        <v>37</v>
      </c>
      <c r="G327" s="41">
        <v>150.0</v>
      </c>
      <c r="H327" s="42">
        <v>45.0</v>
      </c>
      <c r="I327" s="43"/>
      <c r="J327" s="44"/>
      <c r="K327" s="45">
        <f t="shared" si="28"/>
        <v>6750</v>
      </c>
      <c r="L327" s="41" t="s">
        <v>38</v>
      </c>
      <c r="M327" s="45">
        <v>200.0</v>
      </c>
      <c r="N327" s="35" t="s">
        <v>20</v>
      </c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</row>
    <row r="328" ht="18.75" customHeight="1">
      <c r="A328" s="28"/>
      <c r="B328" s="29"/>
      <c r="C328" s="30"/>
      <c r="D328" s="28"/>
      <c r="E328" s="28"/>
      <c r="F328" s="68" t="s">
        <v>39</v>
      </c>
      <c r="G328" s="51">
        <v>150.0</v>
      </c>
      <c r="H328" s="42"/>
      <c r="I328" s="48"/>
      <c r="J328" s="38"/>
      <c r="K328" s="39">
        <f t="shared" si="28"/>
        <v>0</v>
      </c>
      <c r="L328" s="58" t="s">
        <v>40</v>
      </c>
      <c r="M328" s="25">
        <v>350.0</v>
      </c>
      <c r="N328" s="28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</row>
    <row r="329" ht="18.75" customHeight="1">
      <c r="A329" s="28"/>
      <c r="B329" s="29"/>
      <c r="C329" s="30"/>
      <c r="D329" s="28"/>
      <c r="E329" s="28"/>
      <c r="F329" s="40" t="s">
        <v>41</v>
      </c>
      <c r="G329" s="41">
        <v>100.0</v>
      </c>
      <c r="H329" s="42"/>
      <c r="I329" s="43"/>
      <c r="J329" s="44"/>
      <c r="K329" s="45">
        <f t="shared" si="28"/>
        <v>0</v>
      </c>
      <c r="L329" s="65" t="s">
        <v>42</v>
      </c>
      <c r="M329" s="34">
        <v>3500.0</v>
      </c>
      <c r="N329" s="28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</row>
    <row r="330" ht="18.75" customHeight="1">
      <c r="A330" s="28"/>
      <c r="B330" s="29"/>
      <c r="C330" s="30"/>
      <c r="D330" s="28"/>
      <c r="E330" s="28"/>
      <c r="F330" s="47" t="s">
        <v>43</v>
      </c>
      <c r="G330" s="41">
        <v>200.0</v>
      </c>
      <c r="H330" s="43"/>
      <c r="I330" s="48"/>
      <c r="J330" s="38"/>
      <c r="K330" s="39">
        <f t="shared" si="28"/>
        <v>0</v>
      </c>
      <c r="L330" s="58" t="s">
        <v>44</v>
      </c>
      <c r="M330" s="25">
        <f>7540</f>
        <v>7540</v>
      </c>
      <c r="N330" s="28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</row>
    <row r="331" ht="18.75" customHeight="1">
      <c r="A331" s="28"/>
      <c r="B331" s="29"/>
      <c r="C331" s="30"/>
      <c r="D331" s="28"/>
      <c r="E331" s="28"/>
      <c r="F331" s="47" t="s">
        <v>45</v>
      </c>
      <c r="G331" s="51">
        <v>150.0</v>
      </c>
      <c r="H331" s="43"/>
      <c r="I331" s="48"/>
      <c r="J331" s="38"/>
      <c r="K331" s="39">
        <f t="shared" si="28"/>
        <v>0</v>
      </c>
      <c r="L331" s="65" t="s">
        <v>46</v>
      </c>
      <c r="M331" s="45">
        <f>660+1380+45</f>
        <v>2085</v>
      </c>
      <c r="N331" s="28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</row>
    <row r="332" ht="18.75" customHeight="1">
      <c r="A332" s="28"/>
      <c r="B332" s="29"/>
      <c r="C332" s="30"/>
      <c r="D332" s="28"/>
      <c r="E332" s="28"/>
      <c r="F332" s="73" t="s">
        <v>68</v>
      </c>
      <c r="G332" s="53">
        <v>110.0</v>
      </c>
      <c r="H332" s="54">
        <v>2.0</v>
      </c>
      <c r="I332" s="48"/>
      <c r="J332" s="38"/>
      <c r="K332" s="45">
        <f t="shared" si="28"/>
        <v>220</v>
      </c>
      <c r="L332" s="58" t="s">
        <v>48</v>
      </c>
      <c r="M332" s="34"/>
      <c r="N332" s="28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</row>
    <row r="333" ht="18.75" customHeight="1">
      <c r="A333" s="28"/>
      <c r="B333" s="29"/>
      <c r="C333" s="30"/>
      <c r="D333" s="28"/>
      <c r="E333" s="59"/>
      <c r="F333" s="63" t="s">
        <v>49</v>
      </c>
      <c r="G333" s="38"/>
      <c r="H333" s="48"/>
      <c r="I333" s="43"/>
      <c r="J333" s="38"/>
      <c r="K333" s="39">
        <f t="shared" si="28"/>
        <v>0</v>
      </c>
      <c r="L333" s="58" t="s">
        <v>78</v>
      </c>
      <c r="M333" s="38"/>
      <c r="N333" s="59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</row>
    <row r="334" ht="18.75" customHeight="1">
      <c r="A334" s="28"/>
      <c r="B334" s="29"/>
      <c r="C334" s="30"/>
      <c r="D334" s="28"/>
      <c r="E334" s="72">
        <f>N351</f>
        <v>182402</v>
      </c>
      <c r="F334" s="98" t="s">
        <v>108</v>
      </c>
      <c r="G334" s="2"/>
      <c r="H334" s="3"/>
      <c r="I334" s="43"/>
      <c r="J334" s="44"/>
      <c r="K334" s="64">
        <f>SUM(K326:K333)</f>
        <v>19970</v>
      </c>
      <c r="L334" s="65" t="s">
        <v>33</v>
      </c>
      <c r="M334" s="64">
        <f>SUM(M326:M333)</f>
        <v>13675</v>
      </c>
      <c r="N334" s="26">
        <f>E334+K334-M334</f>
        <v>188697</v>
      </c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</row>
    <row r="335" ht="66.75" customHeight="1">
      <c r="A335" s="59"/>
      <c r="B335" s="60"/>
      <c r="C335" s="61"/>
      <c r="D335" s="59"/>
      <c r="E335" s="63" t="s">
        <v>109</v>
      </c>
      <c r="F335" s="70" t="s">
        <v>136</v>
      </c>
      <c r="G335" s="2"/>
      <c r="H335" s="2"/>
      <c r="I335" s="2"/>
      <c r="J335" s="2"/>
      <c r="K335" s="2"/>
      <c r="L335" s="2"/>
      <c r="M335" s="2"/>
      <c r="N335" s="3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</row>
    <row r="336" ht="18.75" customHeight="1">
      <c r="A336" s="13">
        <v>1200.0</v>
      </c>
      <c r="B336" s="14">
        <v>45892.0</v>
      </c>
      <c r="C336" s="15"/>
      <c r="D336" s="16" t="s">
        <v>137</v>
      </c>
      <c r="E336" s="71" t="s">
        <v>15</v>
      </c>
      <c r="F336" s="101" t="s">
        <v>138</v>
      </c>
      <c r="G336" s="77">
        <v>1500.0</v>
      </c>
      <c r="H336" s="66">
        <v>68.0</v>
      </c>
      <c r="I336" s="48"/>
      <c r="J336" s="38"/>
      <c r="K336" s="45">
        <f t="shared" ref="K336:K337" si="29">G336*H336</f>
        <v>102000</v>
      </c>
      <c r="L336" s="80" t="s">
        <v>139</v>
      </c>
      <c r="M336" s="25">
        <f>15000</f>
        <v>15000</v>
      </c>
      <c r="N336" s="26">
        <f>K351-M351</f>
        <v>6051</v>
      </c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</row>
    <row r="337" ht="18.75" customHeight="1">
      <c r="A337" s="28"/>
      <c r="B337" s="29"/>
      <c r="C337" s="30"/>
      <c r="D337" s="28"/>
      <c r="E337" s="28"/>
      <c r="F337" s="101" t="s">
        <v>140</v>
      </c>
      <c r="G337" s="77">
        <v>1450.0</v>
      </c>
      <c r="H337" s="42">
        <v>38.0</v>
      </c>
      <c r="I337" s="43"/>
      <c r="J337" s="44"/>
      <c r="K337" s="45">
        <f t="shared" si="29"/>
        <v>55100</v>
      </c>
      <c r="L337" s="100" t="s">
        <v>141</v>
      </c>
      <c r="M337" s="34">
        <f>108*90</f>
        <v>9720</v>
      </c>
      <c r="N337" s="35" t="s">
        <v>20</v>
      </c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</row>
    <row r="338" ht="18.75" customHeight="1">
      <c r="A338" s="28"/>
      <c r="B338" s="29"/>
      <c r="C338" s="30"/>
      <c r="D338" s="28"/>
      <c r="E338" s="28"/>
      <c r="F338" s="102" t="s">
        <v>142</v>
      </c>
      <c r="G338" s="2"/>
      <c r="H338" s="3"/>
      <c r="I338" s="43"/>
      <c r="J338" s="44"/>
      <c r="K338" s="45"/>
      <c r="L338" s="80" t="s">
        <v>143</v>
      </c>
      <c r="M338" s="34">
        <v>24000.0</v>
      </c>
      <c r="N338" s="28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</row>
    <row r="339" ht="18.75" customHeight="1">
      <c r="A339" s="28"/>
      <c r="B339" s="29"/>
      <c r="C339" s="30"/>
      <c r="D339" s="28"/>
      <c r="E339" s="28"/>
      <c r="F339" s="102" t="s">
        <v>144</v>
      </c>
      <c r="G339" s="2"/>
      <c r="H339" s="3"/>
      <c r="I339" s="43"/>
      <c r="J339" s="44"/>
      <c r="K339" s="45"/>
      <c r="L339" s="80" t="s">
        <v>145</v>
      </c>
      <c r="M339" s="25">
        <f>11*5500</f>
        <v>60500</v>
      </c>
      <c r="N339" s="28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</row>
    <row r="340" ht="18.75" customHeight="1">
      <c r="A340" s="28"/>
      <c r="B340" s="29"/>
      <c r="C340" s="30"/>
      <c r="D340" s="28"/>
      <c r="E340" s="28"/>
      <c r="F340" s="102" t="s">
        <v>146</v>
      </c>
      <c r="G340" s="2"/>
      <c r="H340" s="3"/>
      <c r="I340" s="43"/>
      <c r="J340" s="44"/>
      <c r="K340" s="45"/>
      <c r="L340" s="103" t="s">
        <v>147</v>
      </c>
      <c r="M340" s="34">
        <v>3700.0</v>
      </c>
      <c r="N340" s="28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</row>
    <row r="341" ht="18.75" customHeight="1">
      <c r="A341" s="28"/>
      <c r="B341" s="29"/>
      <c r="C341" s="30"/>
      <c r="D341" s="28"/>
      <c r="E341" s="28"/>
      <c r="F341" s="104" t="s">
        <v>148</v>
      </c>
      <c r="G341" s="2"/>
      <c r="H341" s="3"/>
      <c r="I341" s="43"/>
      <c r="J341" s="44"/>
      <c r="K341" s="45"/>
      <c r="L341" s="80" t="s">
        <v>149</v>
      </c>
      <c r="M341" s="34">
        <v>6000.0</v>
      </c>
      <c r="N341" s="28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</row>
    <row r="342" ht="18.75" customHeight="1">
      <c r="A342" s="28"/>
      <c r="B342" s="29"/>
      <c r="C342" s="30"/>
      <c r="D342" s="28"/>
      <c r="E342" s="28"/>
      <c r="F342" s="105"/>
      <c r="G342" s="77"/>
      <c r="H342" s="42"/>
      <c r="I342" s="48"/>
      <c r="J342" s="38"/>
      <c r="K342" s="39"/>
      <c r="L342" s="97" t="s">
        <v>150</v>
      </c>
      <c r="M342" s="34">
        <v>5000.0</v>
      </c>
      <c r="N342" s="28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</row>
    <row r="343" ht="18.75" customHeight="1">
      <c r="A343" s="28"/>
      <c r="B343" s="29"/>
      <c r="C343" s="30"/>
      <c r="D343" s="28"/>
      <c r="E343" s="28"/>
      <c r="F343" s="106"/>
      <c r="G343" s="77"/>
      <c r="H343" s="42"/>
      <c r="I343" s="43"/>
      <c r="J343" s="44"/>
      <c r="K343" s="45"/>
      <c r="L343" s="80" t="s">
        <v>151</v>
      </c>
      <c r="M343" s="34">
        <v>5694.0</v>
      </c>
      <c r="N343" s="28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</row>
    <row r="344" ht="18.75" customHeight="1">
      <c r="A344" s="28"/>
      <c r="B344" s="29"/>
      <c r="C344" s="30"/>
      <c r="D344" s="28"/>
      <c r="E344" s="28"/>
      <c r="F344" s="107"/>
      <c r="G344" s="77"/>
      <c r="H344" s="42"/>
      <c r="I344" s="48"/>
      <c r="J344" s="38"/>
      <c r="K344" s="39"/>
      <c r="L344" s="103" t="s">
        <v>152</v>
      </c>
      <c r="M344" s="34">
        <v>1300.0</v>
      </c>
      <c r="N344" s="28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</row>
    <row r="345" ht="18.75" customHeight="1">
      <c r="A345" s="28"/>
      <c r="B345" s="29"/>
      <c r="C345" s="30"/>
      <c r="D345" s="28"/>
      <c r="E345" s="28"/>
      <c r="F345" s="107"/>
      <c r="G345" s="77"/>
      <c r="H345" s="42"/>
      <c r="I345" s="48"/>
      <c r="J345" s="38"/>
      <c r="K345" s="39"/>
      <c r="L345" s="80" t="s">
        <v>153</v>
      </c>
      <c r="M345" s="34">
        <v>1200.0</v>
      </c>
      <c r="N345" s="28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</row>
    <row r="346" ht="18.75" customHeight="1">
      <c r="A346" s="28"/>
      <c r="B346" s="29"/>
      <c r="C346" s="30"/>
      <c r="D346" s="28"/>
      <c r="E346" s="28"/>
      <c r="F346" s="96"/>
      <c r="G346" s="38"/>
      <c r="H346" s="43"/>
      <c r="I346" s="48"/>
      <c r="J346" s="38"/>
      <c r="K346" s="25"/>
      <c r="L346" s="108" t="s">
        <v>154</v>
      </c>
      <c r="M346" s="34">
        <f>100+180+100</f>
        <v>380</v>
      </c>
      <c r="N346" s="28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</row>
    <row r="347" ht="18.75" customHeight="1">
      <c r="A347" s="28"/>
      <c r="B347" s="29"/>
      <c r="C347" s="30"/>
      <c r="D347" s="28"/>
      <c r="E347" s="28"/>
      <c r="F347" s="96"/>
      <c r="G347" s="38"/>
      <c r="H347" s="43"/>
      <c r="I347" s="48"/>
      <c r="J347" s="38"/>
      <c r="K347" s="25"/>
      <c r="L347" s="109" t="s">
        <v>155</v>
      </c>
      <c r="M347" s="34">
        <f>620+95+660+2150</f>
        <v>3525</v>
      </c>
      <c r="N347" s="28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</row>
    <row r="348" ht="18.75" customHeight="1">
      <c r="A348" s="28"/>
      <c r="B348" s="29"/>
      <c r="C348" s="30"/>
      <c r="D348" s="28"/>
      <c r="E348" s="28"/>
      <c r="F348" s="96"/>
      <c r="G348" s="38"/>
      <c r="H348" s="43"/>
      <c r="I348" s="48"/>
      <c r="J348" s="38"/>
      <c r="K348" s="25"/>
      <c r="L348" s="80" t="s">
        <v>156</v>
      </c>
      <c r="M348" s="34">
        <v>4000.0</v>
      </c>
      <c r="N348" s="28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</row>
    <row r="349" ht="18.75" customHeight="1">
      <c r="A349" s="28"/>
      <c r="B349" s="29"/>
      <c r="C349" s="30"/>
      <c r="D349" s="28"/>
      <c r="E349" s="28"/>
      <c r="F349" s="96"/>
      <c r="G349" s="38"/>
      <c r="H349" s="43"/>
      <c r="I349" s="48"/>
      <c r="J349" s="38"/>
      <c r="K349" s="25"/>
      <c r="L349" s="55" t="s">
        <v>157</v>
      </c>
      <c r="M349" s="34">
        <f>8090+110</f>
        <v>8200</v>
      </c>
      <c r="N349" s="28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</row>
    <row r="350" ht="18.75" customHeight="1">
      <c r="A350" s="28"/>
      <c r="B350" s="29"/>
      <c r="C350" s="30"/>
      <c r="D350" s="28"/>
      <c r="E350" s="59"/>
      <c r="F350" s="96"/>
      <c r="G350" s="38"/>
      <c r="H350" s="43"/>
      <c r="I350" s="48"/>
      <c r="J350" s="38"/>
      <c r="K350" s="25"/>
      <c r="L350" s="80" t="s">
        <v>158</v>
      </c>
      <c r="M350" s="34">
        <v>2830.0</v>
      </c>
      <c r="N350" s="59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</row>
    <row r="351" ht="18.75" customHeight="1">
      <c r="A351" s="28"/>
      <c r="B351" s="29"/>
      <c r="C351" s="30"/>
      <c r="D351" s="28"/>
      <c r="E351" s="72">
        <f>N361</f>
        <v>176351</v>
      </c>
      <c r="F351" s="98" t="s">
        <v>108</v>
      </c>
      <c r="G351" s="2"/>
      <c r="H351" s="3"/>
      <c r="I351" s="43"/>
      <c r="J351" s="44"/>
      <c r="K351" s="64">
        <f>SUM(K336:K350)</f>
        <v>157100</v>
      </c>
      <c r="L351" s="65" t="s">
        <v>33</v>
      </c>
      <c r="M351" s="64">
        <f>SUM(M336:M350)</f>
        <v>151049</v>
      </c>
      <c r="N351" s="26">
        <f>E351+K351-M351</f>
        <v>182402</v>
      </c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</row>
    <row r="352" ht="18.75" customHeight="1">
      <c r="A352" s="59"/>
      <c r="B352" s="60"/>
      <c r="C352" s="61"/>
      <c r="D352" s="59"/>
      <c r="E352" s="63" t="s">
        <v>109</v>
      </c>
      <c r="F352" s="70"/>
      <c r="G352" s="2"/>
      <c r="H352" s="2"/>
      <c r="I352" s="2"/>
      <c r="J352" s="2"/>
      <c r="K352" s="2"/>
      <c r="L352" s="2"/>
      <c r="M352" s="2"/>
      <c r="N352" s="3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</row>
    <row r="353" ht="18.75" customHeight="1">
      <c r="A353" s="13">
        <v>1199.0</v>
      </c>
      <c r="B353" s="14">
        <v>45885.0</v>
      </c>
      <c r="C353" s="15"/>
      <c r="D353" s="16" t="s">
        <v>159</v>
      </c>
      <c r="E353" s="71" t="s">
        <v>15</v>
      </c>
      <c r="F353" s="40" t="s">
        <v>35</v>
      </c>
      <c r="G353" s="51">
        <v>200.0</v>
      </c>
      <c r="H353" s="66">
        <v>99.0</v>
      </c>
      <c r="I353" s="48"/>
      <c r="J353" s="38"/>
      <c r="K353" s="39">
        <f t="shared" ref="K353:K360" si="30">G353*H353</f>
        <v>19800</v>
      </c>
      <c r="L353" s="51" t="s">
        <v>36</v>
      </c>
      <c r="M353" s="39">
        <v>0.0</v>
      </c>
      <c r="N353" s="26">
        <f>K361-M361</f>
        <v>8725</v>
      </c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</row>
    <row r="354" ht="18.75" customHeight="1">
      <c r="A354" s="28"/>
      <c r="B354" s="29"/>
      <c r="C354" s="30"/>
      <c r="D354" s="28"/>
      <c r="E354" s="28"/>
      <c r="F354" s="67" t="s">
        <v>37</v>
      </c>
      <c r="G354" s="41">
        <v>150.0</v>
      </c>
      <c r="H354" s="42">
        <v>54.0</v>
      </c>
      <c r="I354" s="43"/>
      <c r="J354" s="44"/>
      <c r="K354" s="45">
        <f t="shared" si="30"/>
        <v>8100</v>
      </c>
      <c r="L354" s="41" t="s">
        <v>38</v>
      </c>
      <c r="M354" s="45">
        <v>200.0</v>
      </c>
      <c r="N354" s="35" t="s">
        <v>20</v>
      </c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</row>
    <row r="355" ht="18.75" customHeight="1">
      <c r="A355" s="28"/>
      <c r="B355" s="29"/>
      <c r="C355" s="30"/>
      <c r="D355" s="28"/>
      <c r="E355" s="28"/>
      <c r="F355" s="68" t="s">
        <v>39</v>
      </c>
      <c r="G355" s="51">
        <v>150.0</v>
      </c>
      <c r="H355" s="42"/>
      <c r="I355" s="48"/>
      <c r="J355" s="38"/>
      <c r="K355" s="39">
        <f t="shared" si="30"/>
        <v>0</v>
      </c>
      <c r="L355" s="58" t="s">
        <v>40</v>
      </c>
      <c r="M355" s="25">
        <v>400.0</v>
      </c>
      <c r="N355" s="28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</row>
    <row r="356" ht="18.75" customHeight="1">
      <c r="A356" s="28"/>
      <c r="B356" s="29"/>
      <c r="C356" s="30"/>
      <c r="D356" s="28"/>
      <c r="E356" s="28"/>
      <c r="F356" s="40" t="s">
        <v>41</v>
      </c>
      <c r="G356" s="41">
        <v>100.0</v>
      </c>
      <c r="H356" s="42"/>
      <c r="I356" s="43"/>
      <c r="J356" s="44"/>
      <c r="K356" s="45">
        <f t="shared" si="30"/>
        <v>0</v>
      </c>
      <c r="L356" s="65" t="s">
        <v>42</v>
      </c>
      <c r="M356" s="34">
        <v>3500.0</v>
      </c>
      <c r="N356" s="28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</row>
    <row r="357" ht="18.75" customHeight="1">
      <c r="A357" s="28"/>
      <c r="B357" s="29"/>
      <c r="C357" s="30"/>
      <c r="D357" s="28"/>
      <c r="E357" s="28"/>
      <c r="F357" s="47" t="s">
        <v>43</v>
      </c>
      <c r="G357" s="41">
        <v>200.0</v>
      </c>
      <c r="H357" s="43"/>
      <c r="I357" s="48"/>
      <c r="J357" s="38"/>
      <c r="K357" s="39">
        <f t="shared" si="30"/>
        <v>0</v>
      </c>
      <c r="L357" s="58" t="s">
        <v>44</v>
      </c>
      <c r="M357" s="25">
        <f>11390</f>
        <v>11390</v>
      </c>
      <c r="N357" s="28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</row>
    <row r="358" ht="18.75" customHeight="1">
      <c r="A358" s="28"/>
      <c r="B358" s="29"/>
      <c r="C358" s="30"/>
      <c r="D358" s="28"/>
      <c r="E358" s="28"/>
      <c r="F358" s="47" t="s">
        <v>45</v>
      </c>
      <c r="G358" s="51">
        <v>150.0</v>
      </c>
      <c r="H358" s="43"/>
      <c r="I358" s="48"/>
      <c r="J358" s="38"/>
      <c r="K358" s="39">
        <f t="shared" si="30"/>
        <v>0</v>
      </c>
      <c r="L358" s="65" t="s">
        <v>46</v>
      </c>
      <c r="M358" s="45">
        <f>1260+1380+65</f>
        <v>2705</v>
      </c>
      <c r="N358" s="28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</row>
    <row r="359" ht="18.75" customHeight="1">
      <c r="A359" s="28"/>
      <c r="B359" s="29"/>
      <c r="C359" s="30"/>
      <c r="D359" s="28"/>
      <c r="E359" s="28"/>
      <c r="F359" s="73" t="s">
        <v>68</v>
      </c>
      <c r="G359" s="53">
        <v>110.0</v>
      </c>
      <c r="H359" s="54">
        <v>2.0</v>
      </c>
      <c r="I359" s="48"/>
      <c r="J359" s="38"/>
      <c r="K359" s="45">
        <f t="shared" si="30"/>
        <v>220</v>
      </c>
      <c r="L359" s="58" t="s">
        <v>48</v>
      </c>
      <c r="M359" s="34">
        <f>1200</f>
        <v>1200</v>
      </c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</row>
    <row r="360" ht="18.75" customHeight="1">
      <c r="A360" s="28"/>
      <c r="B360" s="29"/>
      <c r="C360" s="30"/>
      <c r="D360" s="28"/>
      <c r="E360" s="59"/>
      <c r="F360" s="63" t="s">
        <v>49</v>
      </c>
      <c r="G360" s="38"/>
      <c r="H360" s="48"/>
      <c r="I360" s="43"/>
      <c r="J360" s="38"/>
      <c r="K360" s="39">
        <f t="shared" si="30"/>
        <v>0</v>
      </c>
      <c r="L360" s="58" t="s">
        <v>78</v>
      </c>
      <c r="M360" s="38"/>
      <c r="N360" s="59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</row>
    <row r="361" ht="18.75" customHeight="1">
      <c r="A361" s="28"/>
      <c r="B361" s="29"/>
      <c r="C361" s="30"/>
      <c r="D361" s="28"/>
      <c r="E361" s="72">
        <f>N371</f>
        <v>167626</v>
      </c>
      <c r="F361" s="98" t="s">
        <v>108</v>
      </c>
      <c r="G361" s="2"/>
      <c r="H361" s="3"/>
      <c r="I361" s="43"/>
      <c r="J361" s="44"/>
      <c r="K361" s="64">
        <f>SUM(K353:K360)</f>
        <v>28120</v>
      </c>
      <c r="L361" s="65" t="s">
        <v>33</v>
      </c>
      <c r="M361" s="64">
        <f>SUM(M353:M360)</f>
        <v>19395</v>
      </c>
      <c r="N361" s="26">
        <f>E361+K361-M361</f>
        <v>176351</v>
      </c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</row>
    <row r="362" ht="78.0" customHeight="1">
      <c r="A362" s="59"/>
      <c r="B362" s="60"/>
      <c r="C362" s="61"/>
      <c r="D362" s="59"/>
      <c r="E362" s="63" t="s">
        <v>109</v>
      </c>
      <c r="F362" s="70" t="s">
        <v>136</v>
      </c>
      <c r="G362" s="2"/>
      <c r="H362" s="2"/>
      <c r="I362" s="2"/>
      <c r="J362" s="2"/>
      <c r="K362" s="2"/>
      <c r="L362" s="2"/>
      <c r="M362" s="2"/>
      <c r="N362" s="3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</row>
    <row r="363" ht="18.75" customHeight="1">
      <c r="A363" s="13">
        <v>1198.0</v>
      </c>
      <c r="B363" s="14">
        <v>45878.0</v>
      </c>
      <c r="C363" s="15"/>
      <c r="D363" s="16" t="s">
        <v>160</v>
      </c>
      <c r="E363" s="71" t="s">
        <v>15</v>
      </c>
      <c r="F363" s="40" t="s">
        <v>35</v>
      </c>
      <c r="G363" s="51">
        <v>200.0</v>
      </c>
      <c r="H363" s="66">
        <v>75.0</v>
      </c>
      <c r="I363" s="48"/>
      <c r="J363" s="38"/>
      <c r="K363" s="39">
        <f t="shared" ref="K363:K370" si="31">G363*H363</f>
        <v>15000</v>
      </c>
      <c r="L363" s="51" t="s">
        <v>36</v>
      </c>
      <c r="M363" s="39">
        <v>0.0</v>
      </c>
      <c r="N363" s="26">
        <f>K371-M371</f>
        <v>5245</v>
      </c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</row>
    <row r="364" ht="18.75" customHeight="1">
      <c r="A364" s="28"/>
      <c r="B364" s="29"/>
      <c r="C364" s="30"/>
      <c r="D364" s="28"/>
      <c r="E364" s="28"/>
      <c r="F364" s="67" t="s">
        <v>37</v>
      </c>
      <c r="G364" s="41">
        <v>150.0</v>
      </c>
      <c r="H364" s="42">
        <v>33.0</v>
      </c>
      <c r="I364" s="43"/>
      <c r="J364" s="44"/>
      <c r="K364" s="45">
        <f t="shared" si="31"/>
        <v>4950</v>
      </c>
      <c r="L364" s="41" t="s">
        <v>38</v>
      </c>
      <c r="M364" s="45">
        <v>200.0</v>
      </c>
      <c r="N364" s="35" t="s">
        <v>20</v>
      </c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</row>
    <row r="365" ht="18.75" customHeight="1">
      <c r="A365" s="28"/>
      <c r="B365" s="29"/>
      <c r="C365" s="30"/>
      <c r="D365" s="28"/>
      <c r="E365" s="28"/>
      <c r="F365" s="68" t="s">
        <v>39</v>
      </c>
      <c r="G365" s="51">
        <v>150.0</v>
      </c>
      <c r="H365" s="42"/>
      <c r="I365" s="48"/>
      <c r="J365" s="38"/>
      <c r="K365" s="39">
        <f t="shared" si="31"/>
        <v>0</v>
      </c>
      <c r="L365" s="58" t="s">
        <v>40</v>
      </c>
      <c r="M365" s="25">
        <v>400.0</v>
      </c>
      <c r="N365" s="28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</row>
    <row r="366" ht="18.75" customHeight="1">
      <c r="A366" s="28"/>
      <c r="B366" s="29"/>
      <c r="C366" s="30"/>
      <c r="D366" s="28"/>
      <c r="E366" s="28"/>
      <c r="F366" s="40" t="s">
        <v>41</v>
      </c>
      <c r="G366" s="41">
        <v>100.0</v>
      </c>
      <c r="H366" s="42"/>
      <c r="I366" s="43"/>
      <c r="J366" s="44"/>
      <c r="K366" s="45">
        <f t="shared" si="31"/>
        <v>0</v>
      </c>
      <c r="L366" s="65" t="s">
        <v>42</v>
      </c>
      <c r="M366" s="34">
        <v>3500.0</v>
      </c>
      <c r="N366" s="28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</row>
    <row r="367" ht="18.75" customHeight="1">
      <c r="A367" s="28"/>
      <c r="B367" s="29"/>
      <c r="C367" s="30"/>
      <c r="D367" s="28"/>
      <c r="E367" s="28"/>
      <c r="F367" s="47" t="s">
        <v>43</v>
      </c>
      <c r="G367" s="41">
        <v>200.0</v>
      </c>
      <c r="H367" s="43"/>
      <c r="I367" s="48"/>
      <c r="J367" s="38"/>
      <c r="K367" s="39">
        <f t="shared" si="31"/>
        <v>0</v>
      </c>
      <c r="L367" s="58" t="s">
        <v>44</v>
      </c>
      <c r="M367" s="25">
        <f>8250</f>
        <v>8250</v>
      </c>
      <c r="N367" s="28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</row>
    <row r="368" ht="18.75" customHeight="1">
      <c r="A368" s="28"/>
      <c r="B368" s="29"/>
      <c r="C368" s="30"/>
      <c r="D368" s="28"/>
      <c r="E368" s="28"/>
      <c r="F368" s="47" t="s">
        <v>45</v>
      </c>
      <c r="G368" s="51">
        <v>150.0</v>
      </c>
      <c r="H368" s="43"/>
      <c r="I368" s="48"/>
      <c r="J368" s="38"/>
      <c r="K368" s="39">
        <f t="shared" si="31"/>
        <v>0</v>
      </c>
      <c r="L368" s="65" t="s">
        <v>46</v>
      </c>
      <c r="M368" s="45">
        <f>930+1380+45</f>
        <v>2355</v>
      </c>
      <c r="N368" s="28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</row>
    <row r="369" ht="18.75" customHeight="1">
      <c r="A369" s="28"/>
      <c r="B369" s="29"/>
      <c r="C369" s="30"/>
      <c r="D369" s="28"/>
      <c r="E369" s="28"/>
      <c r="F369" s="63" t="s">
        <v>47</v>
      </c>
      <c r="G369" s="38"/>
      <c r="H369" s="43"/>
      <c r="I369" s="48"/>
      <c r="J369" s="38"/>
      <c r="K369" s="45">
        <f t="shared" si="31"/>
        <v>0</v>
      </c>
      <c r="L369" s="58" t="s">
        <v>48</v>
      </c>
      <c r="M369" s="34"/>
      <c r="N369" s="28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</row>
    <row r="370" ht="18.75" customHeight="1">
      <c r="A370" s="28"/>
      <c r="B370" s="29"/>
      <c r="C370" s="30"/>
      <c r="D370" s="28"/>
      <c r="E370" s="59"/>
      <c r="F370" s="63" t="s">
        <v>49</v>
      </c>
      <c r="G370" s="38"/>
      <c r="H370" s="48"/>
      <c r="I370" s="43"/>
      <c r="J370" s="38"/>
      <c r="K370" s="39">
        <f t="shared" si="31"/>
        <v>0</v>
      </c>
      <c r="L370" s="58" t="s">
        <v>78</v>
      </c>
      <c r="M370" s="38"/>
      <c r="N370" s="59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</row>
    <row r="371" ht="18.75" customHeight="1">
      <c r="A371" s="28"/>
      <c r="B371" s="29"/>
      <c r="C371" s="30"/>
      <c r="D371" s="28"/>
      <c r="E371" s="72">
        <f>N381</f>
        <v>162381</v>
      </c>
      <c r="F371" s="98" t="s">
        <v>108</v>
      </c>
      <c r="G371" s="2"/>
      <c r="H371" s="3"/>
      <c r="I371" s="43"/>
      <c r="J371" s="44"/>
      <c r="K371" s="64">
        <f>SUM(K363:K370)</f>
        <v>19950</v>
      </c>
      <c r="L371" s="65" t="s">
        <v>33</v>
      </c>
      <c r="M371" s="64">
        <f>SUM(M363:M370)</f>
        <v>14705</v>
      </c>
      <c r="N371" s="26">
        <f>E371+K371-M371</f>
        <v>167626</v>
      </c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</row>
    <row r="372" ht="66.0" customHeight="1">
      <c r="A372" s="59"/>
      <c r="B372" s="60"/>
      <c r="C372" s="61"/>
      <c r="D372" s="59"/>
      <c r="E372" s="63" t="s">
        <v>109</v>
      </c>
      <c r="F372" s="70" t="s">
        <v>161</v>
      </c>
      <c r="G372" s="2"/>
      <c r="H372" s="2"/>
      <c r="I372" s="2"/>
      <c r="J372" s="2"/>
      <c r="K372" s="2"/>
      <c r="L372" s="2"/>
      <c r="M372" s="2"/>
      <c r="N372" s="3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</row>
    <row r="373" ht="18.75" customHeight="1">
      <c r="A373" s="13">
        <v>1197.0</v>
      </c>
      <c r="B373" s="14">
        <v>45871.0</v>
      </c>
      <c r="C373" s="15"/>
      <c r="D373" s="16" t="s">
        <v>34</v>
      </c>
      <c r="E373" s="71" t="s">
        <v>15</v>
      </c>
      <c r="F373" s="40" t="s">
        <v>35</v>
      </c>
      <c r="G373" s="51">
        <v>200.0</v>
      </c>
      <c r="H373" s="66">
        <v>86.0</v>
      </c>
      <c r="I373" s="48"/>
      <c r="J373" s="38"/>
      <c r="K373" s="39">
        <f t="shared" ref="K373:K380" si="32">G373*H373</f>
        <v>17200</v>
      </c>
      <c r="L373" s="51" t="s">
        <v>36</v>
      </c>
      <c r="M373" s="39">
        <v>0.0</v>
      </c>
      <c r="N373" s="26">
        <f>K381-M381</f>
        <v>8750</v>
      </c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</row>
    <row r="374" ht="18.75" customHeight="1">
      <c r="A374" s="28"/>
      <c r="B374" s="29"/>
      <c r="C374" s="30"/>
      <c r="D374" s="28"/>
      <c r="E374" s="28"/>
      <c r="F374" s="67" t="s">
        <v>37</v>
      </c>
      <c r="G374" s="41">
        <v>150.0</v>
      </c>
      <c r="H374" s="42">
        <v>44.0</v>
      </c>
      <c r="I374" s="43"/>
      <c r="J374" s="44"/>
      <c r="K374" s="45">
        <f t="shared" si="32"/>
        <v>6600</v>
      </c>
      <c r="L374" s="41" t="s">
        <v>38</v>
      </c>
      <c r="M374" s="45">
        <v>200.0</v>
      </c>
      <c r="N374" s="35" t="s">
        <v>20</v>
      </c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</row>
    <row r="375" ht="18.75" customHeight="1">
      <c r="A375" s="28"/>
      <c r="B375" s="29"/>
      <c r="C375" s="30"/>
      <c r="D375" s="28"/>
      <c r="E375" s="28"/>
      <c r="F375" s="68" t="s">
        <v>39</v>
      </c>
      <c r="G375" s="51">
        <v>150.0</v>
      </c>
      <c r="H375" s="42"/>
      <c r="I375" s="48"/>
      <c r="J375" s="38"/>
      <c r="K375" s="39">
        <f t="shared" si="32"/>
        <v>0</v>
      </c>
      <c r="L375" s="58" t="s">
        <v>40</v>
      </c>
      <c r="M375" s="25">
        <v>400.0</v>
      </c>
      <c r="N375" s="28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</row>
    <row r="376" ht="18.75" customHeight="1">
      <c r="A376" s="28"/>
      <c r="B376" s="29"/>
      <c r="C376" s="30"/>
      <c r="D376" s="28"/>
      <c r="E376" s="28"/>
      <c r="F376" s="40" t="s">
        <v>41</v>
      </c>
      <c r="G376" s="41">
        <v>100.0</v>
      </c>
      <c r="H376" s="42">
        <v>1.0</v>
      </c>
      <c r="I376" s="43"/>
      <c r="J376" s="44"/>
      <c r="K376" s="45">
        <f t="shared" si="32"/>
        <v>100</v>
      </c>
      <c r="L376" s="65" t="s">
        <v>42</v>
      </c>
      <c r="M376" s="34">
        <v>4000.0</v>
      </c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</row>
    <row r="377" ht="18.75" customHeight="1">
      <c r="A377" s="28"/>
      <c r="B377" s="29"/>
      <c r="C377" s="30"/>
      <c r="D377" s="28"/>
      <c r="E377" s="28"/>
      <c r="F377" s="47" t="s">
        <v>43</v>
      </c>
      <c r="G377" s="41">
        <v>200.0</v>
      </c>
      <c r="H377" s="43"/>
      <c r="I377" s="48"/>
      <c r="J377" s="38"/>
      <c r="K377" s="39">
        <f t="shared" si="32"/>
        <v>0</v>
      </c>
      <c r="L377" s="58" t="s">
        <v>44</v>
      </c>
      <c r="M377" s="25">
        <f>7820</f>
        <v>7820</v>
      </c>
      <c r="N377" s="28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</row>
    <row r="378" ht="18.75" customHeight="1">
      <c r="A378" s="28"/>
      <c r="B378" s="29"/>
      <c r="C378" s="30"/>
      <c r="D378" s="28"/>
      <c r="E378" s="28"/>
      <c r="F378" s="47" t="s">
        <v>45</v>
      </c>
      <c r="G378" s="51">
        <v>150.0</v>
      </c>
      <c r="H378" s="43"/>
      <c r="I378" s="48"/>
      <c r="J378" s="38"/>
      <c r="K378" s="39">
        <f t="shared" si="32"/>
        <v>0</v>
      </c>
      <c r="L378" s="65" t="s">
        <v>46</v>
      </c>
      <c r="M378" s="45">
        <f>950+1380+90</f>
        <v>2420</v>
      </c>
      <c r="N378" s="28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</row>
    <row r="379" ht="18.75" customHeight="1">
      <c r="A379" s="28"/>
      <c r="B379" s="29"/>
      <c r="C379" s="30"/>
      <c r="D379" s="28"/>
      <c r="E379" s="28"/>
      <c r="F379" s="52" t="s">
        <v>162</v>
      </c>
      <c r="G379" s="53">
        <v>1890.0</v>
      </c>
      <c r="H379" s="42">
        <v>1.0</v>
      </c>
      <c r="I379" s="48"/>
      <c r="J379" s="38"/>
      <c r="K379" s="45">
        <f t="shared" si="32"/>
        <v>1890</v>
      </c>
      <c r="L379" s="58" t="s">
        <v>48</v>
      </c>
      <c r="M379" s="34">
        <v>2200.0</v>
      </c>
      <c r="N379" s="28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</row>
    <row r="380" ht="18.75" customHeight="1">
      <c r="A380" s="28"/>
      <c r="B380" s="29"/>
      <c r="C380" s="30"/>
      <c r="D380" s="28"/>
      <c r="E380" s="59"/>
      <c r="F380" s="63" t="s">
        <v>49</v>
      </c>
      <c r="G380" s="38"/>
      <c r="H380" s="48"/>
      <c r="I380" s="43"/>
      <c r="J380" s="38"/>
      <c r="K380" s="39">
        <f t="shared" si="32"/>
        <v>0</v>
      </c>
      <c r="L380" s="58" t="s">
        <v>78</v>
      </c>
      <c r="M380" s="38"/>
      <c r="N380" s="59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</row>
    <row r="381" ht="18.75" customHeight="1">
      <c r="A381" s="28"/>
      <c r="B381" s="29"/>
      <c r="C381" s="30"/>
      <c r="D381" s="28"/>
      <c r="E381" s="72">
        <f>N391</f>
        <v>153631</v>
      </c>
      <c r="F381" s="98" t="s">
        <v>108</v>
      </c>
      <c r="G381" s="2"/>
      <c r="H381" s="3"/>
      <c r="I381" s="43"/>
      <c r="J381" s="44"/>
      <c r="K381" s="64">
        <f>SUM(K373:K380)</f>
        <v>25790</v>
      </c>
      <c r="L381" s="65" t="s">
        <v>33</v>
      </c>
      <c r="M381" s="64">
        <f>SUM(M373:M380)</f>
        <v>17040</v>
      </c>
      <c r="N381" s="26">
        <f>E381+K381-M381</f>
        <v>162381</v>
      </c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</row>
    <row r="382" ht="65.25" customHeight="1">
      <c r="A382" s="59"/>
      <c r="B382" s="60"/>
      <c r="C382" s="61"/>
      <c r="D382" s="59"/>
      <c r="E382" s="63" t="s">
        <v>109</v>
      </c>
      <c r="F382" s="70" t="s">
        <v>163</v>
      </c>
      <c r="G382" s="2"/>
      <c r="H382" s="2"/>
      <c r="I382" s="2"/>
      <c r="J382" s="2"/>
      <c r="K382" s="2"/>
      <c r="L382" s="2"/>
      <c r="M382" s="2"/>
      <c r="N382" s="3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</row>
    <row r="383" ht="18.75" customHeight="1">
      <c r="A383" s="13">
        <v>1196.0</v>
      </c>
      <c r="B383" s="14">
        <v>45864.0</v>
      </c>
      <c r="C383" s="15"/>
      <c r="D383" s="16" t="s">
        <v>164</v>
      </c>
      <c r="E383" s="71" t="s">
        <v>15</v>
      </c>
      <c r="F383" s="40" t="s">
        <v>35</v>
      </c>
      <c r="G383" s="51">
        <v>200.0</v>
      </c>
      <c r="H383" s="66">
        <v>85.0</v>
      </c>
      <c r="I383" s="48"/>
      <c r="J383" s="38"/>
      <c r="K383" s="39">
        <f t="shared" ref="K383:K390" si="33">G383*H383</f>
        <v>17000</v>
      </c>
      <c r="L383" s="51" t="s">
        <v>36</v>
      </c>
      <c r="M383" s="39">
        <v>0.0</v>
      </c>
      <c r="N383" s="26">
        <f>K391-M391</f>
        <v>8100</v>
      </c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</row>
    <row r="384" ht="18.75" customHeight="1">
      <c r="A384" s="28"/>
      <c r="B384" s="29"/>
      <c r="C384" s="30"/>
      <c r="D384" s="28"/>
      <c r="E384" s="28"/>
      <c r="F384" s="67" t="s">
        <v>37</v>
      </c>
      <c r="G384" s="41">
        <v>150.0</v>
      </c>
      <c r="H384" s="42">
        <v>60.0</v>
      </c>
      <c r="I384" s="43"/>
      <c r="J384" s="44"/>
      <c r="K384" s="45">
        <f t="shared" si="33"/>
        <v>9000</v>
      </c>
      <c r="L384" s="41" t="s">
        <v>38</v>
      </c>
      <c r="M384" s="45">
        <v>200.0</v>
      </c>
      <c r="N384" s="35" t="s">
        <v>20</v>
      </c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</row>
    <row r="385" ht="18.75" customHeight="1">
      <c r="A385" s="28"/>
      <c r="B385" s="29"/>
      <c r="C385" s="30"/>
      <c r="D385" s="28"/>
      <c r="E385" s="28"/>
      <c r="F385" s="68" t="s">
        <v>39</v>
      </c>
      <c r="G385" s="51">
        <v>150.0</v>
      </c>
      <c r="H385" s="42"/>
      <c r="I385" s="48"/>
      <c r="J385" s="38"/>
      <c r="K385" s="39">
        <f t="shared" si="33"/>
        <v>0</v>
      </c>
      <c r="L385" s="58" t="s">
        <v>40</v>
      </c>
      <c r="M385" s="25">
        <v>350.0</v>
      </c>
      <c r="N385" s="28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</row>
    <row r="386" ht="18.75" customHeight="1">
      <c r="A386" s="28"/>
      <c r="B386" s="29"/>
      <c r="C386" s="30"/>
      <c r="D386" s="28"/>
      <c r="E386" s="28"/>
      <c r="F386" s="40" t="s">
        <v>41</v>
      </c>
      <c r="G386" s="41">
        <v>100.0</v>
      </c>
      <c r="H386" s="42">
        <v>2.0</v>
      </c>
      <c r="I386" s="43"/>
      <c r="J386" s="44"/>
      <c r="K386" s="45">
        <f t="shared" si="33"/>
        <v>200</v>
      </c>
      <c r="L386" s="65" t="s">
        <v>42</v>
      </c>
      <c r="M386" s="34">
        <v>3500.0</v>
      </c>
      <c r="N386" s="28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</row>
    <row r="387" ht="18.75" customHeight="1">
      <c r="A387" s="28"/>
      <c r="B387" s="29"/>
      <c r="C387" s="30"/>
      <c r="D387" s="28"/>
      <c r="E387" s="28"/>
      <c r="F387" s="47" t="s">
        <v>43</v>
      </c>
      <c r="G387" s="41">
        <v>200.0</v>
      </c>
      <c r="H387" s="43"/>
      <c r="I387" s="48"/>
      <c r="J387" s="38"/>
      <c r="K387" s="39">
        <f t="shared" si="33"/>
        <v>0</v>
      </c>
      <c r="L387" s="58" t="s">
        <v>44</v>
      </c>
      <c r="M387" s="25">
        <f>11280</f>
        <v>11280</v>
      </c>
      <c r="N387" s="28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</row>
    <row r="388" ht="18.75" customHeight="1">
      <c r="A388" s="28"/>
      <c r="B388" s="29"/>
      <c r="C388" s="30"/>
      <c r="D388" s="28"/>
      <c r="E388" s="28"/>
      <c r="F388" s="47" t="s">
        <v>45</v>
      </c>
      <c r="G388" s="51">
        <v>150.0</v>
      </c>
      <c r="H388" s="43"/>
      <c r="I388" s="48"/>
      <c r="J388" s="38"/>
      <c r="K388" s="39">
        <f t="shared" si="33"/>
        <v>0</v>
      </c>
      <c r="L388" s="65" t="s">
        <v>46</v>
      </c>
      <c r="M388" s="45">
        <f>1330+1260+180</f>
        <v>2770</v>
      </c>
      <c r="N388" s="28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</row>
    <row r="389" ht="18.75" customHeight="1">
      <c r="A389" s="28"/>
      <c r="B389" s="29"/>
      <c r="C389" s="30"/>
      <c r="D389" s="28"/>
      <c r="E389" s="28"/>
      <c r="F389" s="63" t="s">
        <v>47</v>
      </c>
      <c r="G389" s="38"/>
      <c r="H389" s="43"/>
      <c r="I389" s="48"/>
      <c r="J389" s="38"/>
      <c r="K389" s="39">
        <f t="shared" si="33"/>
        <v>0</v>
      </c>
      <c r="L389" s="58" t="s">
        <v>48</v>
      </c>
      <c r="M389" s="34"/>
      <c r="N389" s="28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</row>
    <row r="390" ht="18.75" customHeight="1">
      <c r="A390" s="28"/>
      <c r="B390" s="29"/>
      <c r="C390" s="30"/>
      <c r="D390" s="28"/>
      <c r="E390" s="59"/>
      <c r="F390" s="63" t="s">
        <v>49</v>
      </c>
      <c r="G390" s="38"/>
      <c r="H390" s="48"/>
      <c r="I390" s="43"/>
      <c r="J390" s="38"/>
      <c r="K390" s="39">
        <f t="shared" si="33"/>
        <v>0</v>
      </c>
      <c r="L390" s="58" t="s">
        <v>78</v>
      </c>
      <c r="M390" s="38"/>
      <c r="N390" s="59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</row>
    <row r="391" ht="18.75" customHeight="1">
      <c r="A391" s="28"/>
      <c r="B391" s="29"/>
      <c r="C391" s="30"/>
      <c r="D391" s="28"/>
      <c r="E391" s="72">
        <f>N401</f>
        <v>145531</v>
      </c>
      <c r="F391" s="98" t="s">
        <v>108</v>
      </c>
      <c r="G391" s="2"/>
      <c r="H391" s="3"/>
      <c r="I391" s="43"/>
      <c r="J391" s="44"/>
      <c r="K391" s="64">
        <f>SUM(K383:K390)</f>
        <v>26200</v>
      </c>
      <c r="L391" s="65" t="s">
        <v>33</v>
      </c>
      <c r="M391" s="64">
        <f>SUM(M383:M390)</f>
        <v>18100</v>
      </c>
      <c r="N391" s="26">
        <f>E391+K391-M391</f>
        <v>153631</v>
      </c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</row>
    <row r="392" ht="68.25" customHeight="1">
      <c r="A392" s="59"/>
      <c r="B392" s="60"/>
      <c r="C392" s="61"/>
      <c r="D392" s="59"/>
      <c r="E392" s="63" t="s">
        <v>109</v>
      </c>
      <c r="F392" s="70" t="s">
        <v>165</v>
      </c>
      <c r="G392" s="2"/>
      <c r="H392" s="2"/>
      <c r="I392" s="2"/>
      <c r="J392" s="2"/>
      <c r="K392" s="2"/>
      <c r="L392" s="2"/>
      <c r="M392" s="2"/>
      <c r="N392" s="3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</row>
    <row r="393" ht="18.75" customHeight="1">
      <c r="A393" s="13">
        <v>1195.0</v>
      </c>
      <c r="B393" s="14">
        <v>45857.0</v>
      </c>
      <c r="C393" s="15"/>
      <c r="D393" s="16" t="s">
        <v>115</v>
      </c>
      <c r="E393" s="71" t="s">
        <v>15</v>
      </c>
      <c r="F393" s="40" t="s">
        <v>35</v>
      </c>
      <c r="G393" s="51">
        <v>200.0</v>
      </c>
      <c r="H393" s="66">
        <v>70.0</v>
      </c>
      <c r="I393" s="48"/>
      <c r="J393" s="38"/>
      <c r="K393" s="39">
        <f t="shared" ref="K393:K400" si="34">G393*H393</f>
        <v>14000</v>
      </c>
      <c r="L393" s="51" t="s">
        <v>36</v>
      </c>
      <c r="M393" s="39">
        <v>0.0</v>
      </c>
      <c r="N393" s="26">
        <f>K401-M401</f>
        <v>4975</v>
      </c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</row>
    <row r="394" ht="18.75" customHeight="1">
      <c r="A394" s="28"/>
      <c r="B394" s="29"/>
      <c r="C394" s="30"/>
      <c r="D394" s="28"/>
      <c r="E394" s="28"/>
      <c r="F394" s="67" t="s">
        <v>37</v>
      </c>
      <c r="G394" s="41">
        <v>150.0</v>
      </c>
      <c r="H394" s="42">
        <v>40.0</v>
      </c>
      <c r="I394" s="43"/>
      <c r="J394" s="44"/>
      <c r="K394" s="45">
        <f t="shared" si="34"/>
        <v>6000</v>
      </c>
      <c r="L394" s="41" t="s">
        <v>38</v>
      </c>
      <c r="M394" s="45">
        <v>200.0</v>
      </c>
      <c r="N394" s="35" t="s">
        <v>20</v>
      </c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</row>
    <row r="395" ht="18.75" customHeight="1">
      <c r="A395" s="28"/>
      <c r="B395" s="29"/>
      <c r="C395" s="30"/>
      <c r="D395" s="28"/>
      <c r="E395" s="28"/>
      <c r="F395" s="68" t="s">
        <v>39</v>
      </c>
      <c r="G395" s="51">
        <v>150.0</v>
      </c>
      <c r="H395" s="42"/>
      <c r="I395" s="48"/>
      <c r="J395" s="38"/>
      <c r="K395" s="39">
        <f t="shared" si="34"/>
        <v>0</v>
      </c>
      <c r="L395" s="58" t="s">
        <v>40</v>
      </c>
      <c r="M395" s="25">
        <v>350.0</v>
      </c>
      <c r="N395" s="28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</row>
    <row r="396" ht="18.75" customHeight="1">
      <c r="A396" s="28"/>
      <c r="B396" s="29"/>
      <c r="C396" s="30"/>
      <c r="D396" s="28"/>
      <c r="E396" s="28"/>
      <c r="F396" s="40" t="s">
        <v>41</v>
      </c>
      <c r="G396" s="41">
        <v>100.0</v>
      </c>
      <c r="H396" s="42">
        <v>2.0</v>
      </c>
      <c r="I396" s="43"/>
      <c r="J396" s="44"/>
      <c r="K396" s="45">
        <f t="shared" si="34"/>
        <v>200</v>
      </c>
      <c r="L396" s="65" t="s">
        <v>42</v>
      </c>
      <c r="M396" s="34">
        <v>4000.0</v>
      </c>
      <c r="N396" s="28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</row>
    <row r="397" ht="18.75" customHeight="1">
      <c r="A397" s="28"/>
      <c r="B397" s="29"/>
      <c r="C397" s="30"/>
      <c r="D397" s="28"/>
      <c r="E397" s="28"/>
      <c r="F397" s="47" t="s">
        <v>43</v>
      </c>
      <c r="G397" s="41">
        <v>200.0</v>
      </c>
      <c r="H397" s="43"/>
      <c r="I397" s="48"/>
      <c r="J397" s="38"/>
      <c r="K397" s="39">
        <f t="shared" si="34"/>
        <v>0</v>
      </c>
      <c r="L397" s="58" t="s">
        <v>44</v>
      </c>
      <c r="M397" s="25">
        <f>7080</f>
        <v>7080</v>
      </c>
      <c r="N397" s="28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</row>
    <row r="398" ht="18.75" customHeight="1">
      <c r="A398" s="28"/>
      <c r="B398" s="29"/>
      <c r="C398" s="30"/>
      <c r="D398" s="28"/>
      <c r="E398" s="28"/>
      <c r="F398" s="47" t="s">
        <v>45</v>
      </c>
      <c r="G398" s="51">
        <v>150.0</v>
      </c>
      <c r="H398" s="43"/>
      <c r="I398" s="48"/>
      <c r="J398" s="38"/>
      <c r="K398" s="39">
        <f t="shared" si="34"/>
        <v>0</v>
      </c>
      <c r="L398" s="65" t="s">
        <v>46</v>
      </c>
      <c r="M398" s="45">
        <f>1040+1260+95</f>
        <v>2395</v>
      </c>
      <c r="N398" s="28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</row>
    <row r="399" ht="18.75" customHeight="1">
      <c r="A399" s="28"/>
      <c r="B399" s="29"/>
      <c r="C399" s="30"/>
      <c r="D399" s="28"/>
      <c r="E399" s="28"/>
      <c r="F399" s="63" t="s">
        <v>47</v>
      </c>
      <c r="G399" s="38"/>
      <c r="H399" s="43"/>
      <c r="I399" s="48"/>
      <c r="J399" s="38"/>
      <c r="K399" s="39">
        <f t="shared" si="34"/>
        <v>0</v>
      </c>
      <c r="L399" s="58" t="s">
        <v>48</v>
      </c>
      <c r="M399" s="34">
        <v>1200.0</v>
      </c>
      <c r="N399" s="28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</row>
    <row r="400" ht="18.75" customHeight="1">
      <c r="A400" s="28"/>
      <c r="B400" s="29"/>
      <c r="C400" s="30"/>
      <c r="D400" s="28"/>
      <c r="E400" s="59"/>
      <c r="F400" s="63" t="s">
        <v>49</v>
      </c>
      <c r="G400" s="38"/>
      <c r="H400" s="48"/>
      <c r="I400" s="43"/>
      <c r="J400" s="38"/>
      <c r="K400" s="39">
        <f t="shared" si="34"/>
        <v>0</v>
      </c>
      <c r="L400" s="58" t="s">
        <v>78</v>
      </c>
      <c r="M400" s="38"/>
      <c r="N400" s="59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</row>
    <row r="401" ht="18.75" customHeight="1">
      <c r="A401" s="28"/>
      <c r="B401" s="29"/>
      <c r="C401" s="30"/>
      <c r="D401" s="28"/>
      <c r="E401" s="72">
        <f>N411</f>
        <v>140556</v>
      </c>
      <c r="F401" s="98" t="s">
        <v>108</v>
      </c>
      <c r="G401" s="2"/>
      <c r="H401" s="3"/>
      <c r="I401" s="43"/>
      <c r="J401" s="44"/>
      <c r="K401" s="64">
        <f>SUM(K393:K400)</f>
        <v>20200</v>
      </c>
      <c r="L401" s="65" t="s">
        <v>33</v>
      </c>
      <c r="M401" s="64">
        <f>SUM(M393:M400)</f>
        <v>15225</v>
      </c>
      <c r="N401" s="26">
        <f>E401+K401-M401</f>
        <v>145531</v>
      </c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</row>
    <row r="402" ht="69.0" customHeight="1">
      <c r="A402" s="59"/>
      <c r="B402" s="60"/>
      <c r="C402" s="61"/>
      <c r="D402" s="59"/>
      <c r="E402" s="63" t="s">
        <v>109</v>
      </c>
      <c r="F402" s="70" t="s">
        <v>166</v>
      </c>
      <c r="G402" s="2"/>
      <c r="H402" s="2"/>
      <c r="I402" s="2"/>
      <c r="J402" s="2"/>
      <c r="K402" s="2"/>
      <c r="L402" s="2"/>
      <c r="M402" s="2"/>
      <c r="N402" s="3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</row>
    <row r="403" ht="18.75" customHeight="1">
      <c r="A403" s="13">
        <v>1194.0</v>
      </c>
      <c r="B403" s="14">
        <v>45850.0</v>
      </c>
      <c r="C403" s="15"/>
      <c r="D403" s="16" t="s">
        <v>167</v>
      </c>
      <c r="E403" s="71" t="s">
        <v>15</v>
      </c>
      <c r="F403" s="40" t="s">
        <v>35</v>
      </c>
      <c r="G403" s="51">
        <v>200.0</v>
      </c>
      <c r="H403" s="66">
        <v>84.0</v>
      </c>
      <c r="I403" s="48"/>
      <c r="J403" s="38"/>
      <c r="K403" s="39">
        <f t="shared" ref="K403:K410" si="35">G403*H403</f>
        <v>16800</v>
      </c>
      <c r="L403" s="51" t="s">
        <v>36</v>
      </c>
      <c r="M403" s="39">
        <v>0.0</v>
      </c>
      <c r="N403" s="26">
        <f>K411-M411</f>
        <v>8035</v>
      </c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</row>
    <row r="404" ht="18.75" customHeight="1">
      <c r="A404" s="28"/>
      <c r="B404" s="29"/>
      <c r="C404" s="30"/>
      <c r="D404" s="28"/>
      <c r="E404" s="28"/>
      <c r="F404" s="67" t="s">
        <v>37</v>
      </c>
      <c r="G404" s="41">
        <v>150.0</v>
      </c>
      <c r="H404" s="42">
        <v>47.0</v>
      </c>
      <c r="I404" s="43"/>
      <c r="J404" s="44"/>
      <c r="K404" s="45">
        <f t="shared" si="35"/>
        <v>7050</v>
      </c>
      <c r="L404" s="41" t="s">
        <v>38</v>
      </c>
      <c r="M404" s="45">
        <v>200.0</v>
      </c>
      <c r="N404" s="35" t="s">
        <v>20</v>
      </c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</row>
    <row r="405" ht="18.75" customHeight="1">
      <c r="A405" s="28"/>
      <c r="B405" s="29"/>
      <c r="C405" s="30"/>
      <c r="D405" s="28"/>
      <c r="E405" s="28"/>
      <c r="F405" s="68" t="s">
        <v>39</v>
      </c>
      <c r="G405" s="51">
        <v>150.0</v>
      </c>
      <c r="H405" s="42"/>
      <c r="I405" s="48"/>
      <c r="J405" s="38"/>
      <c r="K405" s="39">
        <f t="shared" si="35"/>
        <v>0</v>
      </c>
      <c r="L405" s="58" t="s">
        <v>40</v>
      </c>
      <c r="M405" s="25">
        <v>400.0</v>
      </c>
      <c r="N405" s="28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</row>
    <row r="406" ht="18.75" customHeight="1">
      <c r="A406" s="28"/>
      <c r="B406" s="29"/>
      <c r="C406" s="30"/>
      <c r="D406" s="28"/>
      <c r="E406" s="28"/>
      <c r="F406" s="40" t="s">
        <v>41</v>
      </c>
      <c r="G406" s="41">
        <v>100.0</v>
      </c>
      <c r="H406" s="42"/>
      <c r="I406" s="43"/>
      <c r="J406" s="44"/>
      <c r="K406" s="45">
        <f t="shared" si="35"/>
        <v>0</v>
      </c>
      <c r="L406" s="65" t="s">
        <v>42</v>
      </c>
      <c r="M406" s="34">
        <v>4000.0</v>
      </c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</row>
    <row r="407" ht="18.75" customHeight="1">
      <c r="A407" s="28"/>
      <c r="B407" s="29"/>
      <c r="C407" s="30"/>
      <c r="D407" s="28"/>
      <c r="E407" s="28"/>
      <c r="F407" s="47" t="s">
        <v>43</v>
      </c>
      <c r="G407" s="41">
        <v>200.0</v>
      </c>
      <c r="H407" s="43"/>
      <c r="I407" s="48"/>
      <c r="J407" s="38"/>
      <c r="K407" s="39">
        <f t="shared" si="35"/>
        <v>0</v>
      </c>
      <c r="L407" s="58" t="s">
        <v>44</v>
      </c>
      <c r="M407" s="25">
        <f>8640</f>
        <v>8640</v>
      </c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</row>
    <row r="408" ht="18.75" customHeight="1">
      <c r="A408" s="28"/>
      <c r="B408" s="29"/>
      <c r="C408" s="30"/>
      <c r="D408" s="28"/>
      <c r="E408" s="28"/>
      <c r="F408" s="47" t="s">
        <v>45</v>
      </c>
      <c r="G408" s="51">
        <v>150.0</v>
      </c>
      <c r="H408" s="43"/>
      <c r="I408" s="48"/>
      <c r="J408" s="38"/>
      <c r="K408" s="39">
        <f t="shared" si="35"/>
        <v>0</v>
      </c>
      <c r="L408" s="65" t="s">
        <v>46</v>
      </c>
      <c r="M408" s="45">
        <f>1380+1150+45</f>
        <v>2575</v>
      </c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</row>
    <row r="409" ht="18.75" customHeight="1">
      <c r="A409" s="28"/>
      <c r="B409" s="29"/>
      <c r="C409" s="30"/>
      <c r="D409" s="28"/>
      <c r="E409" s="28"/>
      <c r="F409" s="63" t="s">
        <v>47</v>
      </c>
      <c r="G409" s="38"/>
      <c r="H409" s="43"/>
      <c r="I409" s="48"/>
      <c r="J409" s="38"/>
      <c r="K409" s="39">
        <f t="shared" si="35"/>
        <v>0</v>
      </c>
      <c r="L409" s="58" t="s">
        <v>48</v>
      </c>
      <c r="M409" s="34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</row>
    <row r="410" ht="18.75" customHeight="1">
      <c r="A410" s="28"/>
      <c r="B410" s="29"/>
      <c r="C410" s="30"/>
      <c r="D410" s="28"/>
      <c r="E410" s="59"/>
      <c r="F410" s="63" t="s">
        <v>49</v>
      </c>
      <c r="G410" s="38"/>
      <c r="H410" s="48"/>
      <c r="I410" s="43"/>
      <c r="J410" s="38"/>
      <c r="K410" s="39">
        <f t="shared" si="35"/>
        <v>0</v>
      </c>
      <c r="L410" s="58" t="s">
        <v>78</v>
      </c>
      <c r="M410" s="38"/>
      <c r="N410" s="59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</row>
    <row r="411" ht="18.75" customHeight="1">
      <c r="A411" s="28"/>
      <c r="B411" s="29"/>
      <c r="C411" s="30"/>
      <c r="D411" s="28"/>
      <c r="E411" s="72">
        <f>N421</f>
        <v>132521</v>
      </c>
      <c r="F411" s="98" t="s">
        <v>108</v>
      </c>
      <c r="G411" s="2"/>
      <c r="H411" s="3"/>
      <c r="I411" s="43"/>
      <c r="J411" s="44"/>
      <c r="K411" s="64">
        <f>SUM(K403:K410)</f>
        <v>23850</v>
      </c>
      <c r="L411" s="65" t="s">
        <v>33</v>
      </c>
      <c r="M411" s="64">
        <f>SUM(M403:M410)</f>
        <v>15815</v>
      </c>
      <c r="N411" s="26">
        <f>E411+K411-M411</f>
        <v>140556</v>
      </c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</row>
    <row r="412" ht="45.0" customHeight="1">
      <c r="A412" s="59"/>
      <c r="B412" s="60"/>
      <c r="C412" s="61"/>
      <c r="D412" s="59"/>
      <c r="E412" s="63" t="s">
        <v>109</v>
      </c>
      <c r="F412" s="70" t="s">
        <v>168</v>
      </c>
      <c r="G412" s="2"/>
      <c r="H412" s="2"/>
      <c r="I412" s="2"/>
      <c r="J412" s="2"/>
      <c r="K412" s="2"/>
      <c r="L412" s="2"/>
      <c r="M412" s="2"/>
      <c r="N412" s="3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</row>
    <row r="413" ht="18.75" customHeight="1">
      <c r="A413" s="13">
        <v>1193.0</v>
      </c>
      <c r="B413" s="14">
        <v>45843.0</v>
      </c>
      <c r="C413" s="15"/>
      <c r="D413" s="16" t="s">
        <v>64</v>
      </c>
      <c r="E413" s="71" t="s">
        <v>15</v>
      </c>
      <c r="F413" s="40" t="s">
        <v>35</v>
      </c>
      <c r="G413" s="51">
        <v>200.0</v>
      </c>
      <c r="H413" s="66">
        <v>82.0</v>
      </c>
      <c r="I413" s="48"/>
      <c r="J413" s="38"/>
      <c r="K413" s="39">
        <f t="shared" ref="K413:K420" si="36">G413*H413</f>
        <v>16400</v>
      </c>
      <c r="L413" s="51" t="s">
        <v>36</v>
      </c>
      <c r="M413" s="39">
        <v>0.0</v>
      </c>
      <c r="N413" s="26">
        <f>K421-M421</f>
        <v>3050</v>
      </c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</row>
    <row r="414" ht="18.75" customHeight="1">
      <c r="A414" s="28"/>
      <c r="B414" s="29"/>
      <c r="C414" s="30"/>
      <c r="D414" s="28"/>
      <c r="E414" s="28"/>
      <c r="F414" s="67" t="s">
        <v>37</v>
      </c>
      <c r="G414" s="41">
        <v>150.0</v>
      </c>
      <c r="H414" s="42">
        <v>35.0</v>
      </c>
      <c r="I414" s="43"/>
      <c r="J414" s="44"/>
      <c r="K414" s="45">
        <f t="shared" si="36"/>
        <v>5250</v>
      </c>
      <c r="L414" s="41" t="s">
        <v>38</v>
      </c>
      <c r="M414" s="45">
        <v>200.0</v>
      </c>
      <c r="N414" s="35" t="s">
        <v>20</v>
      </c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</row>
    <row r="415" ht="18.75" customHeight="1">
      <c r="A415" s="28"/>
      <c r="B415" s="29"/>
      <c r="C415" s="30"/>
      <c r="D415" s="28"/>
      <c r="E415" s="28"/>
      <c r="F415" s="68" t="s">
        <v>39</v>
      </c>
      <c r="G415" s="51">
        <v>150.0</v>
      </c>
      <c r="H415" s="42"/>
      <c r="I415" s="48"/>
      <c r="J415" s="38"/>
      <c r="K415" s="39">
        <f t="shared" si="36"/>
        <v>0</v>
      </c>
      <c r="L415" s="58" t="s">
        <v>40</v>
      </c>
      <c r="M415" s="25">
        <v>400.0</v>
      </c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</row>
    <row r="416" ht="18.75" customHeight="1">
      <c r="A416" s="28"/>
      <c r="B416" s="29"/>
      <c r="C416" s="30"/>
      <c r="D416" s="28"/>
      <c r="E416" s="28"/>
      <c r="F416" s="40" t="s">
        <v>41</v>
      </c>
      <c r="G416" s="41">
        <v>100.0</v>
      </c>
      <c r="H416" s="42">
        <v>1.0</v>
      </c>
      <c r="I416" s="43"/>
      <c r="J416" s="44"/>
      <c r="K416" s="45">
        <f t="shared" si="36"/>
        <v>100</v>
      </c>
      <c r="L416" s="65" t="s">
        <v>42</v>
      </c>
      <c r="M416" s="34">
        <v>3500.0</v>
      </c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</row>
    <row r="417" ht="18.75" customHeight="1">
      <c r="A417" s="28"/>
      <c r="B417" s="29"/>
      <c r="C417" s="30"/>
      <c r="D417" s="28"/>
      <c r="E417" s="28"/>
      <c r="F417" s="47" t="s">
        <v>43</v>
      </c>
      <c r="G417" s="41">
        <v>200.0</v>
      </c>
      <c r="H417" s="43"/>
      <c r="I417" s="48"/>
      <c r="J417" s="38"/>
      <c r="K417" s="39">
        <f t="shared" si="36"/>
        <v>0</v>
      </c>
      <c r="L417" s="58" t="s">
        <v>44</v>
      </c>
      <c r="M417" s="25">
        <f>8670</f>
        <v>8670</v>
      </c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</row>
    <row r="418" ht="18.75" customHeight="1">
      <c r="A418" s="28"/>
      <c r="B418" s="29"/>
      <c r="C418" s="30"/>
      <c r="D418" s="28"/>
      <c r="E418" s="28"/>
      <c r="F418" s="47" t="s">
        <v>45</v>
      </c>
      <c r="G418" s="51">
        <v>150.0</v>
      </c>
      <c r="H418" s="43"/>
      <c r="I418" s="48"/>
      <c r="J418" s="38"/>
      <c r="K418" s="39">
        <f t="shared" si="36"/>
        <v>0</v>
      </c>
      <c r="L418" s="65" t="s">
        <v>46</v>
      </c>
      <c r="M418" s="45">
        <f>910+1340+280</f>
        <v>2530</v>
      </c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</row>
    <row r="419" ht="18.75" customHeight="1">
      <c r="A419" s="28"/>
      <c r="B419" s="29"/>
      <c r="C419" s="30"/>
      <c r="D419" s="28"/>
      <c r="E419" s="28"/>
      <c r="F419" s="63" t="s">
        <v>47</v>
      </c>
      <c r="G419" s="38"/>
      <c r="H419" s="43"/>
      <c r="I419" s="48"/>
      <c r="J419" s="38"/>
      <c r="K419" s="39">
        <f t="shared" si="36"/>
        <v>0</v>
      </c>
      <c r="L419" s="58" t="s">
        <v>48</v>
      </c>
      <c r="M419" s="34">
        <f>2200+1200</f>
        <v>3400</v>
      </c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</row>
    <row r="420" ht="18.75" customHeight="1">
      <c r="A420" s="28"/>
      <c r="B420" s="29"/>
      <c r="C420" s="30"/>
      <c r="D420" s="28"/>
      <c r="E420" s="59"/>
      <c r="F420" s="63" t="s">
        <v>49</v>
      </c>
      <c r="G420" s="38"/>
      <c r="H420" s="48"/>
      <c r="I420" s="43"/>
      <c r="J420" s="38"/>
      <c r="K420" s="39">
        <f t="shared" si="36"/>
        <v>0</v>
      </c>
      <c r="L420" s="58" t="s">
        <v>78</v>
      </c>
      <c r="M420" s="38"/>
      <c r="N420" s="59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</row>
    <row r="421" ht="18.75" customHeight="1">
      <c r="A421" s="28"/>
      <c r="B421" s="29"/>
      <c r="C421" s="30"/>
      <c r="D421" s="28"/>
      <c r="E421" s="72">
        <f>N431</f>
        <v>129471</v>
      </c>
      <c r="F421" s="98" t="s">
        <v>108</v>
      </c>
      <c r="G421" s="2"/>
      <c r="H421" s="3"/>
      <c r="I421" s="43"/>
      <c r="J421" s="44"/>
      <c r="K421" s="64">
        <f>SUM(K413:K420)</f>
        <v>21750</v>
      </c>
      <c r="L421" s="65" t="s">
        <v>33</v>
      </c>
      <c r="M421" s="64">
        <f>SUM(M413:M420)</f>
        <v>18700</v>
      </c>
      <c r="N421" s="26">
        <f>E421+K421-M421</f>
        <v>132521</v>
      </c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</row>
    <row r="422" ht="67.5" customHeight="1">
      <c r="A422" s="59"/>
      <c r="B422" s="60"/>
      <c r="C422" s="61"/>
      <c r="D422" s="59"/>
      <c r="E422" s="63" t="s">
        <v>109</v>
      </c>
      <c r="F422" s="70" t="s">
        <v>169</v>
      </c>
      <c r="G422" s="2"/>
      <c r="H422" s="2"/>
      <c r="I422" s="2"/>
      <c r="J422" s="2"/>
      <c r="K422" s="2"/>
      <c r="L422" s="2"/>
      <c r="M422" s="2"/>
      <c r="N422" s="3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</row>
    <row r="423" ht="18.75" customHeight="1">
      <c r="A423" s="13">
        <v>1192.0</v>
      </c>
      <c r="B423" s="14">
        <v>45836.0</v>
      </c>
      <c r="C423" s="15"/>
      <c r="D423" s="16" t="s">
        <v>111</v>
      </c>
      <c r="E423" s="71" t="s">
        <v>15</v>
      </c>
      <c r="F423" s="40" t="s">
        <v>35</v>
      </c>
      <c r="G423" s="51">
        <v>200.0</v>
      </c>
      <c r="H423" s="66">
        <v>127.0</v>
      </c>
      <c r="I423" s="48"/>
      <c r="J423" s="38"/>
      <c r="K423" s="39">
        <f t="shared" ref="K423:K430" si="37">G423*H423</f>
        <v>25400</v>
      </c>
      <c r="L423" s="51" t="s">
        <v>36</v>
      </c>
      <c r="M423" s="39">
        <v>0.0</v>
      </c>
      <c r="N423" s="26">
        <f>K431-M431</f>
        <v>8665</v>
      </c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</row>
    <row r="424" ht="18.75" customHeight="1">
      <c r="A424" s="28"/>
      <c r="B424" s="29"/>
      <c r="C424" s="30"/>
      <c r="D424" s="28"/>
      <c r="E424" s="28"/>
      <c r="F424" s="67" t="s">
        <v>37</v>
      </c>
      <c r="G424" s="41">
        <v>150.0</v>
      </c>
      <c r="H424" s="42">
        <v>78.0</v>
      </c>
      <c r="I424" s="43"/>
      <c r="J424" s="44"/>
      <c r="K424" s="45">
        <f t="shared" si="37"/>
        <v>11700</v>
      </c>
      <c r="L424" s="41" t="s">
        <v>38</v>
      </c>
      <c r="M424" s="45">
        <v>200.0</v>
      </c>
      <c r="N424" s="35" t="s">
        <v>20</v>
      </c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</row>
    <row r="425" ht="18.75" customHeight="1">
      <c r="A425" s="28"/>
      <c r="B425" s="29"/>
      <c r="C425" s="30"/>
      <c r="D425" s="28"/>
      <c r="E425" s="28"/>
      <c r="F425" s="68" t="s">
        <v>39</v>
      </c>
      <c r="G425" s="51">
        <v>150.0</v>
      </c>
      <c r="H425" s="42"/>
      <c r="I425" s="48"/>
      <c r="J425" s="38"/>
      <c r="K425" s="39">
        <f t="shared" si="37"/>
        <v>0</v>
      </c>
      <c r="L425" s="58" t="s">
        <v>40</v>
      </c>
      <c r="M425" s="25">
        <v>400.0</v>
      </c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</row>
    <row r="426" ht="18.75" customHeight="1">
      <c r="A426" s="28"/>
      <c r="B426" s="29"/>
      <c r="C426" s="30"/>
      <c r="D426" s="28"/>
      <c r="E426" s="28"/>
      <c r="F426" s="40" t="s">
        <v>41</v>
      </c>
      <c r="G426" s="41">
        <v>100.0</v>
      </c>
      <c r="H426" s="42"/>
      <c r="I426" s="43"/>
      <c r="J426" s="44"/>
      <c r="K426" s="45">
        <f t="shared" si="37"/>
        <v>0</v>
      </c>
      <c r="L426" s="65" t="s">
        <v>42</v>
      </c>
      <c r="M426" s="34">
        <v>3500.0</v>
      </c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</row>
    <row r="427" ht="18.75" customHeight="1">
      <c r="A427" s="28"/>
      <c r="B427" s="29"/>
      <c r="C427" s="30"/>
      <c r="D427" s="28"/>
      <c r="E427" s="28"/>
      <c r="F427" s="47" t="s">
        <v>43</v>
      </c>
      <c r="G427" s="41">
        <v>200.0</v>
      </c>
      <c r="H427" s="43"/>
      <c r="I427" s="48"/>
      <c r="J427" s="38"/>
      <c r="K427" s="39">
        <f t="shared" si="37"/>
        <v>0</v>
      </c>
      <c r="L427" s="58" t="s">
        <v>44</v>
      </c>
      <c r="M427" s="25">
        <f>15190</f>
        <v>15190</v>
      </c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</row>
    <row r="428" ht="18.75" customHeight="1">
      <c r="A428" s="28"/>
      <c r="B428" s="29"/>
      <c r="C428" s="30"/>
      <c r="D428" s="28"/>
      <c r="E428" s="28"/>
      <c r="F428" s="47" t="s">
        <v>45</v>
      </c>
      <c r="G428" s="51">
        <v>150.0</v>
      </c>
      <c r="H428" s="43"/>
      <c r="I428" s="48"/>
      <c r="J428" s="38"/>
      <c r="K428" s="39">
        <f t="shared" si="37"/>
        <v>0</v>
      </c>
      <c r="L428" s="65" t="s">
        <v>46</v>
      </c>
      <c r="M428" s="45">
        <f>1085+1260</f>
        <v>2345</v>
      </c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</row>
    <row r="429" ht="18.75" customHeight="1">
      <c r="A429" s="28"/>
      <c r="B429" s="29"/>
      <c r="C429" s="30"/>
      <c r="D429" s="28"/>
      <c r="E429" s="28"/>
      <c r="F429" s="63" t="s">
        <v>47</v>
      </c>
      <c r="G429" s="38"/>
      <c r="H429" s="43"/>
      <c r="I429" s="48"/>
      <c r="J429" s="38"/>
      <c r="K429" s="39">
        <f t="shared" si="37"/>
        <v>0</v>
      </c>
      <c r="L429" s="58" t="s">
        <v>48</v>
      </c>
      <c r="M429" s="34">
        <v>6800.0</v>
      </c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</row>
    <row r="430" ht="18.75" customHeight="1">
      <c r="A430" s="28"/>
      <c r="B430" s="29"/>
      <c r="C430" s="30"/>
      <c r="D430" s="28"/>
      <c r="E430" s="59"/>
      <c r="F430" s="63" t="s">
        <v>49</v>
      </c>
      <c r="G430" s="38"/>
      <c r="H430" s="48"/>
      <c r="I430" s="43"/>
      <c r="J430" s="38"/>
      <c r="K430" s="39">
        <f t="shared" si="37"/>
        <v>0</v>
      </c>
      <c r="L430" s="58" t="s">
        <v>78</v>
      </c>
      <c r="M430" s="38"/>
      <c r="N430" s="59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</row>
    <row r="431" ht="18.75" customHeight="1">
      <c r="A431" s="28"/>
      <c r="B431" s="29"/>
      <c r="C431" s="30"/>
      <c r="D431" s="28"/>
      <c r="E431" s="72">
        <f>N441</f>
        <v>120806</v>
      </c>
      <c r="F431" s="98" t="s">
        <v>108</v>
      </c>
      <c r="G431" s="2"/>
      <c r="H431" s="3"/>
      <c r="I431" s="43"/>
      <c r="J431" s="44"/>
      <c r="K431" s="64">
        <f>SUM(K423:K430)</f>
        <v>37100</v>
      </c>
      <c r="L431" s="65" t="s">
        <v>33</v>
      </c>
      <c r="M431" s="64">
        <f>SUM(M423:M430)</f>
        <v>28435</v>
      </c>
      <c r="N431" s="26">
        <f>E431+K431-M431</f>
        <v>129471</v>
      </c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</row>
    <row r="432" ht="75.0" customHeight="1">
      <c r="A432" s="59"/>
      <c r="B432" s="60"/>
      <c r="C432" s="61"/>
      <c r="D432" s="59"/>
      <c r="E432" s="63" t="s">
        <v>109</v>
      </c>
      <c r="F432" s="70" t="s">
        <v>170</v>
      </c>
      <c r="G432" s="2"/>
      <c r="H432" s="2"/>
      <c r="I432" s="2"/>
      <c r="J432" s="2"/>
      <c r="K432" s="2"/>
      <c r="L432" s="2"/>
      <c r="M432" s="2"/>
      <c r="N432" s="3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</row>
    <row r="433" ht="18.75" customHeight="1">
      <c r="A433" s="13">
        <v>1191.0</v>
      </c>
      <c r="B433" s="14">
        <v>45829.0</v>
      </c>
      <c r="C433" s="15"/>
      <c r="D433" s="16" t="s">
        <v>171</v>
      </c>
      <c r="E433" s="71" t="s">
        <v>15</v>
      </c>
      <c r="F433" s="40" t="s">
        <v>35</v>
      </c>
      <c r="G433" s="51">
        <v>200.0</v>
      </c>
      <c r="H433" s="66">
        <v>95.0</v>
      </c>
      <c r="I433" s="48"/>
      <c r="J433" s="38"/>
      <c r="K433" s="39">
        <f t="shared" ref="K433:K440" si="38">G433*H433</f>
        <v>19000</v>
      </c>
      <c r="L433" s="51" t="s">
        <v>36</v>
      </c>
      <c r="M433" s="39">
        <v>0.0</v>
      </c>
      <c r="N433" s="26">
        <f>K441-M441</f>
        <v>9430</v>
      </c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</row>
    <row r="434" ht="18.75" customHeight="1">
      <c r="A434" s="28"/>
      <c r="B434" s="29"/>
      <c r="C434" s="30"/>
      <c r="D434" s="28"/>
      <c r="E434" s="28"/>
      <c r="F434" s="67" t="s">
        <v>37</v>
      </c>
      <c r="G434" s="41">
        <v>150.0</v>
      </c>
      <c r="H434" s="42">
        <v>42.0</v>
      </c>
      <c r="I434" s="43"/>
      <c r="J434" s="44"/>
      <c r="K434" s="45">
        <f t="shared" si="38"/>
        <v>6300</v>
      </c>
      <c r="L434" s="41" t="s">
        <v>38</v>
      </c>
      <c r="M434" s="45">
        <v>200.0</v>
      </c>
      <c r="N434" s="35" t="s">
        <v>20</v>
      </c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</row>
    <row r="435" ht="18.75" customHeight="1">
      <c r="A435" s="28"/>
      <c r="B435" s="29"/>
      <c r="C435" s="30"/>
      <c r="D435" s="28"/>
      <c r="E435" s="28"/>
      <c r="F435" s="68" t="s">
        <v>39</v>
      </c>
      <c r="G435" s="51">
        <v>150.0</v>
      </c>
      <c r="H435" s="42"/>
      <c r="I435" s="48"/>
      <c r="J435" s="38"/>
      <c r="K435" s="39">
        <f t="shared" si="38"/>
        <v>0</v>
      </c>
      <c r="L435" s="58" t="s">
        <v>40</v>
      </c>
      <c r="M435" s="25">
        <v>350.0</v>
      </c>
      <c r="N435" s="28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</row>
    <row r="436" ht="18.75" customHeight="1">
      <c r="A436" s="28"/>
      <c r="B436" s="29"/>
      <c r="C436" s="30"/>
      <c r="D436" s="28"/>
      <c r="E436" s="28"/>
      <c r="F436" s="40" t="s">
        <v>41</v>
      </c>
      <c r="G436" s="41">
        <v>100.0</v>
      </c>
      <c r="H436" s="42">
        <v>1.0</v>
      </c>
      <c r="I436" s="43"/>
      <c r="J436" s="44"/>
      <c r="K436" s="45">
        <f t="shared" si="38"/>
        <v>100</v>
      </c>
      <c r="L436" s="65" t="s">
        <v>42</v>
      </c>
      <c r="M436" s="34">
        <v>3500.0</v>
      </c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</row>
    <row r="437" ht="18.75" customHeight="1">
      <c r="A437" s="28"/>
      <c r="B437" s="29"/>
      <c r="C437" s="30"/>
      <c r="D437" s="28"/>
      <c r="E437" s="28"/>
      <c r="F437" s="47" t="s">
        <v>43</v>
      </c>
      <c r="G437" s="41">
        <v>200.0</v>
      </c>
      <c r="H437" s="43"/>
      <c r="I437" s="48"/>
      <c r="J437" s="38"/>
      <c r="K437" s="39">
        <f t="shared" si="38"/>
        <v>0</v>
      </c>
      <c r="L437" s="58" t="s">
        <v>44</v>
      </c>
      <c r="M437" s="25">
        <f>9600</f>
        <v>9600</v>
      </c>
      <c r="N437" s="28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</row>
    <row r="438" ht="18.75" customHeight="1">
      <c r="A438" s="28"/>
      <c r="B438" s="29"/>
      <c r="C438" s="30"/>
      <c r="D438" s="28"/>
      <c r="E438" s="28"/>
      <c r="F438" s="47" t="s">
        <v>45</v>
      </c>
      <c r="G438" s="51">
        <v>150.0</v>
      </c>
      <c r="H438" s="43"/>
      <c r="I438" s="48"/>
      <c r="J438" s="38"/>
      <c r="K438" s="39">
        <f t="shared" si="38"/>
        <v>0</v>
      </c>
      <c r="L438" s="65" t="s">
        <v>46</v>
      </c>
      <c r="M438" s="45">
        <f>1060+1260</f>
        <v>2320</v>
      </c>
      <c r="N438" s="28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</row>
    <row r="439" ht="18.75" customHeight="1">
      <c r="A439" s="28"/>
      <c r="B439" s="29"/>
      <c r="C439" s="30"/>
      <c r="D439" s="28"/>
      <c r="E439" s="28"/>
      <c r="F439" s="63" t="s">
        <v>47</v>
      </c>
      <c r="G439" s="38"/>
      <c r="H439" s="43"/>
      <c r="I439" s="48"/>
      <c r="J439" s="38"/>
      <c r="K439" s="39">
        <f t="shared" si="38"/>
        <v>0</v>
      </c>
      <c r="L439" s="58" t="s">
        <v>48</v>
      </c>
      <c r="M439" s="34"/>
      <c r="N439" s="28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</row>
    <row r="440" ht="18.75" customHeight="1">
      <c r="A440" s="28"/>
      <c r="B440" s="29"/>
      <c r="C440" s="30"/>
      <c r="D440" s="28"/>
      <c r="E440" s="59"/>
      <c r="F440" s="63" t="s">
        <v>49</v>
      </c>
      <c r="G440" s="38"/>
      <c r="H440" s="48"/>
      <c r="I440" s="43"/>
      <c r="J440" s="38"/>
      <c r="K440" s="39">
        <f t="shared" si="38"/>
        <v>0</v>
      </c>
      <c r="L440" s="58" t="s">
        <v>78</v>
      </c>
      <c r="M440" s="38"/>
      <c r="N440" s="59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</row>
    <row r="441" ht="18.75" customHeight="1">
      <c r="A441" s="28"/>
      <c r="B441" s="29"/>
      <c r="C441" s="30"/>
      <c r="D441" s="28"/>
      <c r="E441" s="72">
        <f>N451</f>
        <v>111376</v>
      </c>
      <c r="F441" s="98" t="s">
        <v>108</v>
      </c>
      <c r="G441" s="2"/>
      <c r="H441" s="3"/>
      <c r="I441" s="43"/>
      <c r="J441" s="44"/>
      <c r="K441" s="64">
        <f>SUM(K433:K440)</f>
        <v>25400</v>
      </c>
      <c r="L441" s="65" t="s">
        <v>33</v>
      </c>
      <c r="M441" s="64">
        <f>SUM(M433:M440)</f>
        <v>15970</v>
      </c>
      <c r="N441" s="26">
        <f>E441+K441-M441</f>
        <v>120806</v>
      </c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</row>
    <row r="442" ht="59.25" customHeight="1">
      <c r="A442" s="59"/>
      <c r="B442" s="60"/>
      <c r="C442" s="61"/>
      <c r="D442" s="59"/>
      <c r="E442" s="63" t="s">
        <v>109</v>
      </c>
      <c r="F442" s="70" t="s">
        <v>172</v>
      </c>
      <c r="G442" s="2"/>
      <c r="H442" s="2"/>
      <c r="I442" s="2"/>
      <c r="J442" s="2"/>
      <c r="K442" s="2"/>
      <c r="L442" s="2"/>
      <c r="M442" s="2"/>
      <c r="N442" s="3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</row>
    <row r="443" ht="18.75" customHeight="1">
      <c r="A443" s="13">
        <v>1190.0</v>
      </c>
      <c r="B443" s="14">
        <v>45822.0</v>
      </c>
      <c r="C443" s="15"/>
      <c r="D443" s="16" t="s">
        <v>173</v>
      </c>
      <c r="E443" s="71" t="s">
        <v>15</v>
      </c>
      <c r="F443" s="40" t="s">
        <v>35</v>
      </c>
      <c r="G443" s="51">
        <v>200.0</v>
      </c>
      <c r="H443" s="66">
        <v>76.0</v>
      </c>
      <c r="I443" s="48"/>
      <c r="J443" s="38"/>
      <c r="K443" s="39">
        <f t="shared" ref="K443:K450" si="39">G443*H443</f>
        <v>15200</v>
      </c>
      <c r="L443" s="51" t="s">
        <v>36</v>
      </c>
      <c r="M443" s="39">
        <v>0.0</v>
      </c>
      <c r="N443" s="26">
        <f>K451-M451</f>
        <v>7525</v>
      </c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</row>
    <row r="444" ht="18.75" customHeight="1">
      <c r="A444" s="28"/>
      <c r="B444" s="29"/>
      <c r="C444" s="30"/>
      <c r="D444" s="28"/>
      <c r="E444" s="28"/>
      <c r="F444" s="67" t="s">
        <v>37</v>
      </c>
      <c r="G444" s="41">
        <v>150.0</v>
      </c>
      <c r="H444" s="42">
        <v>43.0</v>
      </c>
      <c r="I444" s="43"/>
      <c r="J444" s="44"/>
      <c r="K444" s="45">
        <f t="shared" si="39"/>
        <v>6450</v>
      </c>
      <c r="L444" s="41" t="s">
        <v>38</v>
      </c>
      <c r="M444" s="45">
        <v>200.0</v>
      </c>
      <c r="N444" s="35" t="s">
        <v>20</v>
      </c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</row>
    <row r="445" ht="18.75" customHeight="1">
      <c r="A445" s="28"/>
      <c r="B445" s="29"/>
      <c r="C445" s="30"/>
      <c r="D445" s="28"/>
      <c r="E445" s="28"/>
      <c r="F445" s="68" t="s">
        <v>39</v>
      </c>
      <c r="G445" s="51">
        <v>150.0</v>
      </c>
      <c r="H445" s="42"/>
      <c r="I445" s="48"/>
      <c r="J445" s="38"/>
      <c r="K445" s="39">
        <f t="shared" si="39"/>
        <v>0</v>
      </c>
      <c r="L445" s="58" t="s">
        <v>40</v>
      </c>
      <c r="M445" s="25">
        <v>300.0</v>
      </c>
      <c r="N445" s="28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</row>
    <row r="446" ht="18.75" customHeight="1">
      <c r="A446" s="28"/>
      <c r="B446" s="29"/>
      <c r="C446" s="30"/>
      <c r="D446" s="28"/>
      <c r="E446" s="28"/>
      <c r="F446" s="40" t="s">
        <v>41</v>
      </c>
      <c r="G446" s="41">
        <v>100.0</v>
      </c>
      <c r="H446" s="42"/>
      <c r="I446" s="43"/>
      <c r="J446" s="44"/>
      <c r="K446" s="45">
        <f t="shared" si="39"/>
        <v>0</v>
      </c>
      <c r="L446" s="65" t="s">
        <v>42</v>
      </c>
      <c r="M446" s="34">
        <v>3500.0</v>
      </c>
      <c r="N446" s="28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</row>
    <row r="447" ht="18.75" customHeight="1">
      <c r="A447" s="28"/>
      <c r="B447" s="29"/>
      <c r="C447" s="30"/>
      <c r="D447" s="28"/>
      <c r="E447" s="28"/>
      <c r="F447" s="47" t="s">
        <v>43</v>
      </c>
      <c r="G447" s="41">
        <v>200.0</v>
      </c>
      <c r="H447" s="43"/>
      <c r="I447" s="48"/>
      <c r="J447" s="38"/>
      <c r="K447" s="39">
        <f t="shared" si="39"/>
        <v>0</v>
      </c>
      <c r="L447" s="58" t="s">
        <v>44</v>
      </c>
      <c r="M447" s="25">
        <f>7730</f>
        <v>7730</v>
      </c>
      <c r="N447" s="28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</row>
    <row r="448" ht="18.75" customHeight="1">
      <c r="A448" s="28"/>
      <c r="B448" s="29"/>
      <c r="C448" s="30"/>
      <c r="D448" s="28"/>
      <c r="E448" s="28"/>
      <c r="F448" s="47" t="s">
        <v>45</v>
      </c>
      <c r="G448" s="51">
        <v>150.0</v>
      </c>
      <c r="H448" s="43"/>
      <c r="I448" s="48"/>
      <c r="J448" s="38"/>
      <c r="K448" s="39">
        <f t="shared" si="39"/>
        <v>0</v>
      </c>
      <c r="L448" s="65" t="s">
        <v>46</v>
      </c>
      <c r="M448" s="45">
        <f>1260+860+275</f>
        <v>2395</v>
      </c>
      <c r="N448" s="28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</row>
    <row r="449" ht="18.75" customHeight="1">
      <c r="A449" s="28"/>
      <c r="B449" s="29"/>
      <c r="C449" s="30"/>
      <c r="D449" s="28"/>
      <c r="E449" s="28"/>
      <c r="F449" s="63" t="s">
        <v>47</v>
      </c>
      <c r="G449" s="38"/>
      <c r="H449" s="43"/>
      <c r="I449" s="48"/>
      <c r="J449" s="38"/>
      <c r="K449" s="39">
        <f t="shared" si="39"/>
        <v>0</v>
      </c>
      <c r="L449" s="58" t="s">
        <v>48</v>
      </c>
      <c r="M449" s="34"/>
      <c r="N449" s="28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</row>
    <row r="450" ht="18.75" customHeight="1">
      <c r="A450" s="28"/>
      <c r="B450" s="29"/>
      <c r="C450" s="30"/>
      <c r="D450" s="28"/>
      <c r="E450" s="59"/>
      <c r="F450" s="63" t="s">
        <v>49</v>
      </c>
      <c r="G450" s="38"/>
      <c r="H450" s="48"/>
      <c r="I450" s="43"/>
      <c r="J450" s="38"/>
      <c r="K450" s="39">
        <f t="shared" si="39"/>
        <v>0</v>
      </c>
      <c r="L450" s="58" t="s">
        <v>78</v>
      </c>
      <c r="M450" s="38"/>
      <c r="N450" s="59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</row>
    <row r="451" ht="18.75" customHeight="1">
      <c r="A451" s="28"/>
      <c r="B451" s="29"/>
      <c r="C451" s="30"/>
      <c r="D451" s="28"/>
      <c r="E451" s="72">
        <f>N461</f>
        <v>103851</v>
      </c>
      <c r="F451" s="98" t="s">
        <v>108</v>
      </c>
      <c r="G451" s="2"/>
      <c r="H451" s="3"/>
      <c r="I451" s="43"/>
      <c r="J451" s="44"/>
      <c r="K451" s="64">
        <f>SUM(K443:K450)</f>
        <v>21650</v>
      </c>
      <c r="L451" s="65" t="s">
        <v>33</v>
      </c>
      <c r="M451" s="64">
        <f>SUM(M443:M450)</f>
        <v>14125</v>
      </c>
      <c r="N451" s="26">
        <f>E451+K451-M451</f>
        <v>111376</v>
      </c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</row>
    <row r="452" ht="72.0" customHeight="1">
      <c r="A452" s="59"/>
      <c r="B452" s="60"/>
      <c r="C452" s="61"/>
      <c r="D452" s="59"/>
      <c r="E452" s="63" t="s">
        <v>109</v>
      </c>
      <c r="F452" s="70" t="s">
        <v>174</v>
      </c>
      <c r="G452" s="2"/>
      <c r="H452" s="2"/>
      <c r="I452" s="2"/>
      <c r="J452" s="2"/>
      <c r="K452" s="2"/>
      <c r="L452" s="2"/>
      <c r="M452" s="2"/>
      <c r="N452" s="3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</row>
    <row r="453" ht="18.75" customHeight="1">
      <c r="A453" s="13">
        <v>1189.0</v>
      </c>
      <c r="B453" s="14">
        <v>45815.0</v>
      </c>
      <c r="C453" s="15"/>
      <c r="D453" s="16" t="s">
        <v>125</v>
      </c>
      <c r="E453" s="71" t="s">
        <v>15</v>
      </c>
      <c r="F453" s="40" t="s">
        <v>35</v>
      </c>
      <c r="G453" s="51">
        <v>200.0</v>
      </c>
      <c r="H453" s="66">
        <v>61.0</v>
      </c>
      <c r="I453" s="48"/>
      <c r="J453" s="38"/>
      <c r="K453" s="39">
        <f t="shared" ref="K453:K460" si="40">G453*H453</f>
        <v>12200</v>
      </c>
      <c r="L453" s="51" t="s">
        <v>36</v>
      </c>
      <c r="M453" s="39">
        <v>0.0</v>
      </c>
      <c r="N453" s="26">
        <f>K461-M461</f>
        <v>1885</v>
      </c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</row>
    <row r="454" ht="18.75" customHeight="1">
      <c r="A454" s="28"/>
      <c r="B454" s="29"/>
      <c r="C454" s="30"/>
      <c r="D454" s="28"/>
      <c r="E454" s="28"/>
      <c r="F454" s="67" t="s">
        <v>37</v>
      </c>
      <c r="G454" s="41">
        <v>150.0</v>
      </c>
      <c r="H454" s="42">
        <v>37.0</v>
      </c>
      <c r="I454" s="43"/>
      <c r="J454" s="44"/>
      <c r="K454" s="45">
        <f t="shared" si="40"/>
        <v>5550</v>
      </c>
      <c r="L454" s="41" t="s">
        <v>38</v>
      </c>
      <c r="M454" s="45">
        <v>200.0</v>
      </c>
      <c r="N454" s="35" t="s">
        <v>20</v>
      </c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</row>
    <row r="455" ht="18.75" customHeight="1">
      <c r="A455" s="28"/>
      <c r="B455" s="29"/>
      <c r="C455" s="30"/>
      <c r="D455" s="28"/>
      <c r="E455" s="28"/>
      <c r="F455" s="68" t="s">
        <v>39</v>
      </c>
      <c r="G455" s="51">
        <v>150.0</v>
      </c>
      <c r="H455" s="42"/>
      <c r="I455" s="48"/>
      <c r="J455" s="38"/>
      <c r="K455" s="39">
        <f t="shared" si="40"/>
        <v>0</v>
      </c>
      <c r="L455" s="58" t="s">
        <v>40</v>
      </c>
      <c r="M455" s="25">
        <v>400.0</v>
      </c>
      <c r="N455" s="28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</row>
    <row r="456" ht="18.75" customHeight="1">
      <c r="A456" s="28"/>
      <c r="B456" s="29"/>
      <c r="C456" s="30"/>
      <c r="D456" s="28"/>
      <c r="E456" s="28"/>
      <c r="F456" s="40" t="s">
        <v>41</v>
      </c>
      <c r="G456" s="41">
        <v>100.0</v>
      </c>
      <c r="H456" s="42"/>
      <c r="I456" s="43"/>
      <c r="J456" s="44"/>
      <c r="K456" s="45">
        <f t="shared" si="40"/>
        <v>0</v>
      </c>
      <c r="L456" s="65" t="s">
        <v>42</v>
      </c>
      <c r="M456" s="34">
        <v>4000.0</v>
      </c>
      <c r="N456" s="28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</row>
    <row r="457" ht="18.75" customHeight="1">
      <c r="A457" s="28"/>
      <c r="B457" s="29"/>
      <c r="C457" s="30"/>
      <c r="D457" s="28"/>
      <c r="E457" s="28"/>
      <c r="F457" s="47" t="s">
        <v>43</v>
      </c>
      <c r="G457" s="41">
        <v>200.0</v>
      </c>
      <c r="H457" s="43"/>
      <c r="I457" s="48"/>
      <c r="J457" s="38"/>
      <c r="K457" s="39">
        <f t="shared" si="40"/>
        <v>0</v>
      </c>
      <c r="L457" s="58" t="s">
        <v>44</v>
      </c>
      <c r="M457" s="25">
        <f>6700</f>
        <v>6700</v>
      </c>
      <c r="N457" s="28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</row>
    <row r="458" ht="18.75" customHeight="1">
      <c r="A458" s="28"/>
      <c r="B458" s="29"/>
      <c r="C458" s="30"/>
      <c r="D458" s="28"/>
      <c r="E458" s="28"/>
      <c r="F458" s="47" t="s">
        <v>45</v>
      </c>
      <c r="G458" s="51">
        <v>150.0</v>
      </c>
      <c r="H458" s="43"/>
      <c r="I458" s="48"/>
      <c r="J458" s="38"/>
      <c r="K458" s="39">
        <f t="shared" si="40"/>
        <v>0</v>
      </c>
      <c r="L458" s="65" t="s">
        <v>46</v>
      </c>
      <c r="M458" s="45">
        <f>1060+1260+45</f>
        <v>2365</v>
      </c>
      <c r="N458" s="28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</row>
    <row r="459" ht="18.75" customHeight="1">
      <c r="A459" s="28"/>
      <c r="B459" s="29"/>
      <c r="C459" s="30"/>
      <c r="D459" s="28"/>
      <c r="E459" s="28"/>
      <c r="F459" s="63" t="s">
        <v>47</v>
      </c>
      <c r="G459" s="38"/>
      <c r="H459" s="43"/>
      <c r="I459" s="48"/>
      <c r="J459" s="38"/>
      <c r="K459" s="39">
        <f t="shared" si="40"/>
        <v>0</v>
      </c>
      <c r="L459" s="58" t="s">
        <v>48</v>
      </c>
      <c r="M459" s="34">
        <v>2200.0</v>
      </c>
      <c r="N459" s="28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</row>
    <row r="460" ht="18.75" customHeight="1">
      <c r="A460" s="28"/>
      <c r="B460" s="29"/>
      <c r="C460" s="30"/>
      <c r="D460" s="28"/>
      <c r="E460" s="59"/>
      <c r="F460" s="63" t="s">
        <v>49</v>
      </c>
      <c r="G460" s="38"/>
      <c r="H460" s="48"/>
      <c r="I460" s="43"/>
      <c r="J460" s="38"/>
      <c r="K460" s="39">
        <f t="shared" si="40"/>
        <v>0</v>
      </c>
      <c r="L460" s="58" t="s">
        <v>78</v>
      </c>
      <c r="M460" s="38"/>
      <c r="N460" s="59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</row>
    <row r="461" ht="18.75" customHeight="1">
      <c r="A461" s="28"/>
      <c r="B461" s="29"/>
      <c r="C461" s="30"/>
      <c r="D461" s="28"/>
      <c r="E461" s="72">
        <f>N471</f>
        <v>101966</v>
      </c>
      <c r="F461" s="98" t="s">
        <v>108</v>
      </c>
      <c r="G461" s="2"/>
      <c r="H461" s="3"/>
      <c r="I461" s="43"/>
      <c r="J461" s="44"/>
      <c r="K461" s="64">
        <f>SUM(K453:K460)</f>
        <v>17750</v>
      </c>
      <c r="L461" s="65" t="s">
        <v>33</v>
      </c>
      <c r="M461" s="64">
        <f>SUM(M453:M460)</f>
        <v>15865</v>
      </c>
      <c r="N461" s="26">
        <f>E461+K461-M461</f>
        <v>103851</v>
      </c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</row>
    <row r="462" ht="61.5" customHeight="1">
      <c r="A462" s="59"/>
      <c r="B462" s="60"/>
      <c r="C462" s="61"/>
      <c r="D462" s="59"/>
      <c r="E462" s="63" t="s">
        <v>109</v>
      </c>
      <c r="F462" s="70" t="s">
        <v>175</v>
      </c>
      <c r="G462" s="2"/>
      <c r="H462" s="2"/>
      <c r="I462" s="2"/>
      <c r="J462" s="2"/>
      <c r="K462" s="2"/>
      <c r="L462" s="2"/>
      <c r="M462" s="2"/>
      <c r="N462" s="3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</row>
    <row r="463" ht="18.75" customHeight="1">
      <c r="A463" s="13">
        <v>1188.0</v>
      </c>
      <c r="B463" s="14">
        <v>45808.0</v>
      </c>
      <c r="C463" s="15"/>
      <c r="D463" s="16" t="s">
        <v>52</v>
      </c>
      <c r="E463" s="71" t="s">
        <v>15</v>
      </c>
      <c r="F463" s="40" t="s">
        <v>35</v>
      </c>
      <c r="G463" s="51">
        <v>200.0</v>
      </c>
      <c r="H463" s="66">
        <v>98.0</v>
      </c>
      <c r="I463" s="48"/>
      <c r="J463" s="38"/>
      <c r="K463" s="39">
        <f t="shared" ref="K463:K470" si="41">G463*H463</f>
        <v>19600</v>
      </c>
      <c r="L463" s="51" t="s">
        <v>36</v>
      </c>
      <c r="M463" s="39">
        <v>0.0</v>
      </c>
      <c r="N463" s="26">
        <f>K471-M471</f>
        <v>8840</v>
      </c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</row>
    <row r="464" ht="18.75" customHeight="1">
      <c r="A464" s="28"/>
      <c r="B464" s="29"/>
      <c r="C464" s="30"/>
      <c r="D464" s="28"/>
      <c r="E464" s="28"/>
      <c r="F464" s="67" t="s">
        <v>37</v>
      </c>
      <c r="G464" s="41">
        <v>150.0</v>
      </c>
      <c r="H464" s="42">
        <v>46.0</v>
      </c>
      <c r="I464" s="43"/>
      <c r="J464" s="44"/>
      <c r="K464" s="45">
        <f t="shared" si="41"/>
        <v>6900</v>
      </c>
      <c r="L464" s="41" t="s">
        <v>38</v>
      </c>
      <c r="M464" s="45">
        <v>200.0</v>
      </c>
      <c r="N464" s="35" t="s">
        <v>20</v>
      </c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</row>
    <row r="465" ht="18.75" customHeight="1">
      <c r="A465" s="28"/>
      <c r="B465" s="29"/>
      <c r="C465" s="30"/>
      <c r="D465" s="28"/>
      <c r="E465" s="28"/>
      <c r="F465" s="68" t="s">
        <v>39</v>
      </c>
      <c r="G465" s="51">
        <v>150.0</v>
      </c>
      <c r="H465" s="42"/>
      <c r="I465" s="48"/>
      <c r="J465" s="38"/>
      <c r="K465" s="39">
        <f t="shared" si="41"/>
        <v>0</v>
      </c>
      <c r="L465" s="58" t="s">
        <v>40</v>
      </c>
      <c r="M465" s="25">
        <v>400.0</v>
      </c>
      <c r="N465" s="28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</row>
    <row r="466" ht="18.75" customHeight="1">
      <c r="A466" s="28"/>
      <c r="B466" s="29"/>
      <c r="C466" s="30"/>
      <c r="D466" s="28"/>
      <c r="E466" s="28"/>
      <c r="F466" s="40" t="s">
        <v>41</v>
      </c>
      <c r="G466" s="41">
        <v>100.0</v>
      </c>
      <c r="H466" s="42"/>
      <c r="I466" s="43"/>
      <c r="J466" s="44"/>
      <c r="K466" s="45">
        <f t="shared" si="41"/>
        <v>0</v>
      </c>
      <c r="L466" s="65" t="s">
        <v>42</v>
      </c>
      <c r="M466" s="34">
        <v>4000.0</v>
      </c>
      <c r="N466" s="28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</row>
    <row r="467" ht="18.75" customHeight="1">
      <c r="A467" s="28"/>
      <c r="B467" s="29"/>
      <c r="C467" s="30"/>
      <c r="D467" s="28"/>
      <c r="E467" s="28"/>
      <c r="F467" s="47" t="s">
        <v>43</v>
      </c>
      <c r="G467" s="41">
        <v>200.0</v>
      </c>
      <c r="H467" s="43"/>
      <c r="I467" s="48"/>
      <c r="J467" s="38"/>
      <c r="K467" s="39">
        <f t="shared" si="41"/>
        <v>0</v>
      </c>
      <c r="L467" s="58" t="s">
        <v>44</v>
      </c>
      <c r="M467" s="25">
        <f>8740</f>
        <v>8740</v>
      </c>
      <c r="N467" s="28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</row>
    <row r="468" ht="18.75" customHeight="1">
      <c r="A468" s="28"/>
      <c r="B468" s="29"/>
      <c r="C468" s="30"/>
      <c r="D468" s="28"/>
      <c r="E468" s="28"/>
      <c r="F468" s="47" t="s">
        <v>45</v>
      </c>
      <c r="G468" s="51">
        <v>150.0</v>
      </c>
      <c r="H468" s="43"/>
      <c r="I468" s="48"/>
      <c r="J468" s="38"/>
      <c r="K468" s="39">
        <f t="shared" si="41"/>
        <v>0</v>
      </c>
      <c r="L468" s="65" t="s">
        <v>46</v>
      </c>
      <c r="M468" s="45">
        <f>1260+1060</f>
        <v>2320</v>
      </c>
      <c r="N468" s="28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</row>
    <row r="469" ht="18.75" customHeight="1">
      <c r="A469" s="28"/>
      <c r="B469" s="29"/>
      <c r="C469" s="30"/>
      <c r="D469" s="28"/>
      <c r="E469" s="28"/>
      <c r="F469" s="63" t="s">
        <v>47</v>
      </c>
      <c r="G469" s="38"/>
      <c r="H469" s="43"/>
      <c r="I469" s="48"/>
      <c r="J469" s="38"/>
      <c r="K469" s="39">
        <f t="shared" si="41"/>
        <v>0</v>
      </c>
      <c r="L469" s="58" t="s">
        <v>48</v>
      </c>
      <c r="M469" s="34">
        <v>2000.0</v>
      </c>
      <c r="N469" s="28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</row>
    <row r="470" ht="18.75" customHeight="1">
      <c r="A470" s="28"/>
      <c r="B470" s="29"/>
      <c r="C470" s="30"/>
      <c r="D470" s="28"/>
      <c r="E470" s="59"/>
      <c r="F470" s="63" t="s">
        <v>49</v>
      </c>
      <c r="G470" s="38"/>
      <c r="H470" s="48"/>
      <c r="I470" s="43"/>
      <c r="J470" s="38"/>
      <c r="K470" s="39">
        <f t="shared" si="41"/>
        <v>0</v>
      </c>
      <c r="L470" s="58" t="s">
        <v>78</v>
      </c>
      <c r="M470" s="38"/>
      <c r="N470" s="59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</row>
    <row r="471" ht="18.75" customHeight="1">
      <c r="A471" s="28"/>
      <c r="B471" s="29"/>
      <c r="C471" s="30"/>
      <c r="D471" s="28"/>
      <c r="E471" s="72">
        <f>N481</f>
        <v>93126</v>
      </c>
      <c r="F471" s="98" t="s">
        <v>108</v>
      </c>
      <c r="G471" s="2"/>
      <c r="H471" s="3"/>
      <c r="I471" s="43"/>
      <c r="J471" s="44"/>
      <c r="K471" s="64">
        <f>SUM(K463:K470)</f>
        <v>26500</v>
      </c>
      <c r="L471" s="65" t="s">
        <v>33</v>
      </c>
      <c r="M471" s="64">
        <f>SUM(M463:M470)</f>
        <v>17660</v>
      </c>
      <c r="N471" s="26">
        <f>E471+K471-M471</f>
        <v>101966</v>
      </c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</row>
    <row r="472" ht="81.75" customHeight="1">
      <c r="A472" s="59"/>
      <c r="B472" s="60"/>
      <c r="C472" s="61"/>
      <c r="D472" s="59"/>
      <c r="E472" s="63" t="s">
        <v>109</v>
      </c>
      <c r="F472" s="70" t="s">
        <v>176</v>
      </c>
      <c r="G472" s="2"/>
      <c r="H472" s="2"/>
      <c r="I472" s="2"/>
      <c r="J472" s="2"/>
      <c r="K472" s="2"/>
      <c r="L472" s="2"/>
      <c r="M472" s="2"/>
      <c r="N472" s="3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</row>
    <row r="473" ht="18.75" customHeight="1">
      <c r="A473" s="13">
        <v>1187.0</v>
      </c>
      <c r="B473" s="14">
        <v>45801.0</v>
      </c>
      <c r="C473" s="15"/>
      <c r="D473" s="16" t="s">
        <v>164</v>
      </c>
      <c r="E473" s="71" t="s">
        <v>15</v>
      </c>
      <c r="F473" s="40" t="s">
        <v>35</v>
      </c>
      <c r="G473" s="51">
        <v>200.0</v>
      </c>
      <c r="H473" s="66">
        <v>73.0</v>
      </c>
      <c r="I473" s="48"/>
      <c r="J473" s="38"/>
      <c r="K473" s="39">
        <f t="shared" ref="K473:K480" si="42">G473*H473</f>
        <v>14600</v>
      </c>
      <c r="L473" s="51" t="s">
        <v>36</v>
      </c>
      <c r="M473" s="39">
        <v>0.0</v>
      </c>
      <c r="N473" s="26">
        <f>K481-M481</f>
        <v>7725</v>
      </c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</row>
    <row r="474" ht="18.75" customHeight="1">
      <c r="A474" s="28"/>
      <c r="B474" s="29"/>
      <c r="C474" s="30"/>
      <c r="D474" s="28"/>
      <c r="E474" s="28"/>
      <c r="F474" s="67" t="s">
        <v>37</v>
      </c>
      <c r="G474" s="41">
        <v>150.0</v>
      </c>
      <c r="H474" s="42">
        <v>39.0</v>
      </c>
      <c r="I474" s="43"/>
      <c r="J474" s="44"/>
      <c r="K474" s="45">
        <f t="shared" si="42"/>
        <v>5850</v>
      </c>
      <c r="L474" s="41" t="s">
        <v>38</v>
      </c>
      <c r="M474" s="45">
        <v>200.0</v>
      </c>
      <c r="N474" s="35" t="s">
        <v>20</v>
      </c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</row>
    <row r="475" ht="18.75" customHeight="1">
      <c r="A475" s="28"/>
      <c r="B475" s="29"/>
      <c r="C475" s="30"/>
      <c r="D475" s="28"/>
      <c r="E475" s="28"/>
      <c r="F475" s="68" t="s">
        <v>39</v>
      </c>
      <c r="G475" s="51">
        <v>150.0</v>
      </c>
      <c r="H475" s="42"/>
      <c r="I475" s="48"/>
      <c r="J475" s="38"/>
      <c r="K475" s="39">
        <f t="shared" si="42"/>
        <v>0</v>
      </c>
      <c r="L475" s="58" t="s">
        <v>40</v>
      </c>
      <c r="M475" s="25">
        <v>350.0</v>
      </c>
      <c r="N475" s="28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</row>
    <row r="476" ht="18.75" customHeight="1">
      <c r="A476" s="28"/>
      <c r="B476" s="29"/>
      <c r="C476" s="30"/>
      <c r="D476" s="28"/>
      <c r="E476" s="28"/>
      <c r="F476" s="40" t="s">
        <v>41</v>
      </c>
      <c r="G476" s="41">
        <v>100.0</v>
      </c>
      <c r="H476" s="42"/>
      <c r="I476" s="43"/>
      <c r="J476" s="44"/>
      <c r="K476" s="45">
        <f t="shared" si="42"/>
        <v>0</v>
      </c>
      <c r="L476" s="65" t="s">
        <v>42</v>
      </c>
      <c r="M476" s="34">
        <v>3500.0</v>
      </c>
      <c r="N476" s="28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</row>
    <row r="477" ht="18.75" customHeight="1">
      <c r="A477" s="28"/>
      <c r="B477" s="29"/>
      <c r="C477" s="30"/>
      <c r="D477" s="28"/>
      <c r="E477" s="28"/>
      <c r="F477" s="47" t="s">
        <v>43</v>
      </c>
      <c r="G477" s="41">
        <v>200.0</v>
      </c>
      <c r="H477" s="43"/>
      <c r="I477" s="48"/>
      <c r="J477" s="38"/>
      <c r="K477" s="39">
        <f t="shared" si="42"/>
        <v>0</v>
      </c>
      <c r="L477" s="58" t="s">
        <v>44</v>
      </c>
      <c r="M477" s="25">
        <f>6150</f>
        <v>6150</v>
      </c>
      <c r="N477" s="28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</row>
    <row r="478" ht="18.75" customHeight="1">
      <c r="A478" s="28"/>
      <c r="B478" s="29"/>
      <c r="C478" s="30"/>
      <c r="D478" s="28"/>
      <c r="E478" s="28"/>
      <c r="F478" s="47" t="s">
        <v>45</v>
      </c>
      <c r="G478" s="51">
        <v>150.0</v>
      </c>
      <c r="H478" s="43"/>
      <c r="I478" s="48"/>
      <c r="J478" s="38"/>
      <c r="K478" s="39">
        <f t="shared" si="42"/>
        <v>0</v>
      </c>
      <c r="L478" s="65" t="s">
        <v>46</v>
      </c>
      <c r="M478" s="45">
        <f>1260+1265</f>
        <v>2525</v>
      </c>
      <c r="N478" s="28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</row>
    <row r="479" ht="18.75" customHeight="1">
      <c r="A479" s="28"/>
      <c r="B479" s="29"/>
      <c r="C479" s="30"/>
      <c r="D479" s="28"/>
      <c r="E479" s="28"/>
      <c r="F479" s="63" t="s">
        <v>47</v>
      </c>
      <c r="G479" s="38"/>
      <c r="H479" s="43"/>
      <c r="I479" s="48"/>
      <c r="J479" s="38"/>
      <c r="K479" s="39">
        <f t="shared" si="42"/>
        <v>0</v>
      </c>
      <c r="L479" s="58" t="s">
        <v>48</v>
      </c>
      <c r="M479" s="34"/>
      <c r="N479" s="28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</row>
    <row r="480" ht="18.75" customHeight="1">
      <c r="A480" s="28"/>
      <c r="B480" s="29"/>
      <c r="C480" s="30"/>
      <c r="D480" s="28"/>
      <c r="E480" s="59"/>
      <c r="F480" s="63" t="s">
        <v>49</v>
      </c>
      <c r="G480" s="38"/>
      <c r="H480" s="48"/>
      <c r="I480" s="43"/>
      <c r="J480" s="38"/>
      <c r="K480" s="39">
        <f t="shared" si="42"/>
        <v>0</v>
      </c>
      <c r="L480" s="58" t="s">
        <v>78</v>
      </c>
      <c r="M480" s="38"/>
      <c r="N480" s="59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</row>
    <row r="481" ht="18.75" customHeight="1">
      <c r="A481" s="28"/>
      <c r="B481" s="29"/>
      <c r="C481" s="30"/>
      <c r="D481" s="28"/>
      <c r="E481" s="72">
        <f>N491</f>
        <v>85401</v>
      </c>
      <c r="F481" s="98" t="s">
        <v>108</v>
      </c>
      <c r="G481" s="2"/>
      <c r="H481" s="3"/>
      <c r="I481" s="43"/>
      <c r="J481" s="44"/>
      <c r="K481" s="64">
        <f>SUM(K473:K480)</f>
        <v>20450</v>
      </c>
      <c r="L481" s="65" t="s">
        <v>33</v>
      </c>
      <c r="M481" s="64">
        <f>SUM(M473:M480)</f>
        <v>12725</v>
      </c>
      <c r="N481" s="26">
        <f>E481+K481-M481</f>
        <v>93126</v>
      </c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</row>
    <row r="482" ht="54.0" customHeight="1">
      <c r="A482" s="59"/>
      <c r="B482" s="60"/>
      <c r="C482" s="61"/>
      <c r="D482" s="59"/>
      <c r="E482" s="63" t="s">
        <v>109</v>
      </c>
      <c r="F482" s="70" t="s">
        <v>177</v>
      </c>
      <c r="G482" s="2"/>
      <c r="H482" s="2"/>
      <c r="I482" s="2"/>
      <c r="J482" s="2"/>
      <c r="K482" s="2"/>
      <c r="L482" s="2"/>
      <c r="M482" s="2"/>
      <c r="N482" s="3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</row>
    <row r="483" ht="18.75" customHeight="1">
      <c r="A483" s="13">
        <v>1186.0</v>
      </c>
      <c r="B483" s="14">
        <v>45794.0</v>
      </c>
      <c r="C483" s="15"/>
      <c r="D483" s="16" t="s">
        <v>178</v>
      </c>
      <c r="E483" s="71" t="s">
        <v>15</v>
      </c>
      <c r="F483" s="40" t="s">
        <v>35</v>
      </c>
      <c r="G483" s="51">
        <v>200.0</v>
      </c>
      <c r="H483" s="66">
        <v>74.0</v>
      </c>
      <c r="I483" s="48"/>
      <c r="J483" s="38"/>
      <c r="K483" s="39">
        <f t="shared" ref="K483:K490" si="43">G483*H483</f>
        <v>14800</v>
      </c>
      <c r="L483" s="51" t="s">
        <v>36</v>
      </c>
      <c r="M483" s="39">
        <v>0.0</v>
      </c>
      <c r="N483" s="26">
        <f>K491-M491</f>
        <v>-65313</v>
      </c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</row>
    <row r="484" ht="18.75" customHeight="1">
      <c r="A484" s="28"/>
      <c r="B484" s="29"/>
      <c r="C484" s="30"/>
      <c r="D484" s="28"/>
      <c r="E484" s="28"/>
      <c r="F484" s="67" t="s">
        <v>37</v>
      </c>
      <c r="G484" s="41">
        <v>150.0</v>
      </c>
      <c r="H484" s="42">
        <v>51.0</v>
      </c>
      <c r="I484" s="43"/>
      <c r="J484" s="44"/>
      <c r="K484" s="45">
        <f t="shared" si="43"/>
        <v>7650</v>
      </c>
      <c r="L484" s="41" t="s">
        <v>38</v>
      </c>
      <c r="M484" s="45">
        <v>200.0</v>
      </c>
      <c r="N484" s="35" t="s">
        <v>20</v>
      </c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</row>
    <row r="485" ht="18.75" customHeight="1">
      <c r="A485" s="28"/>
      <c r="B485" s="29"/>
      <c r="C485" s="30"/>
      <c r="D485" s="28"/>
      <c r="E485" s="28"/>
      <c r="F485" s="68" t="s">
        <v>39</v>
      </c>
      <c r="G485" s="51">
        <v>150.0</v>
      </c>
      <c r="H485" s="42">
        <v>1.0</v>
      </c>
      <c r="I485" s="48"/>
      <c r="J485" s="38"/>
      <c r="K485" s="39">
        <f t="shared" si="43"/>
        <v>150</v>
      </c>
      <c r="L485" s="58" t="s">
        <v>40</v>
      </c>
      <c r="M485" s="25">
        <v>300.0</v>
      </c>
      <c r="N485" s="28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</row>
    <row r="486" ht="18.75" customHeight="1">
      <c r="A486" s="28"/>
      <c r="B486" s="29"/>
      <c r="C486" s="30"/>
      <c r="D486" s="28"/>
      <c r="E486" s="28"/>
      <c r="F486" s="40" t="s">
        <v>41</v>
      </c>
      <c r="G486" s="41">
        <v>100.0</v>
      </c>
      <c r="H486" s="42">
        <v>2.0</v>
      </c>
      <c r="I486" s="43"/>
      <c r="J486" s="44"/>
      <c r="K486" s="45">
        <f t="shared" si="43"/>
        <v>200</v>
      </c>
      <c r="L486" s="65" t="s">
        <v>42</v>
      </c>
      <c r="M486" s="34">
        <v>3500.0</v>
      </c>
      <c r="N486" s="28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</row>
    <row r="487" ht="18.75" customHeight="1">
      <c r="A487" s="28"/>
      <c r="B487" s="29"/>
      <c r="C487" s="30"/>
      <c r="D487" s="28"/>
      <c r="E487" s="28"/>
      <c r="F487" s="47" t="s">
        <v>43</v>
      </c>
      <c r="G487" s="41">
        <v>200.0</v>
      </c>
      <c r="H487" s="43"/>
      <c r="I487" s="48"/>
      <c r="J487" s="38"/>
      <c r="K487" s="39">
        <f t="shared" si="43"/>
        <v>0</v>
      </c>
      <c r="L487" s="58" t="s">
        <v>44</v>
      </c>
      <c r="M487" s="25">
        <f>7450</f>
        <v>7450</v>
      </c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</row>
    <row r="488" ht="18.75" customHeight="1">
      <c r="A488" s="28"/>
      <c r="B488" s="29"/>
      <c r="C488" s="30"/>
      <c r="D488" s="28"/>
      <c r="E488" s="28"/>
      <c r="F488" s="47" t="s">
        <v>45</v>
      </c>
      <c r="G488" s="51">
        <v>150.0</v>
      </c>
      <c r="H488" s="43"/>
      <c r="I488" s="48"/>
      <c r="J488" s="38"/>
      <c r="K488" s="39">
        <f t="shared" si="43"/>
        <v>0</v>
      </c>
      <c r="L488" s="65" t="s">
        <v>46</v>
      </c>
      <c r="M488" s="45">
        <f>540+1260+45</f>
        <v>1845</v>
      </c>
      <c r="N488" s="28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</row>
    <row r="489" ht="18.75" customHeight="1">
      <c r="A489" s="28"/>
      <c r="B489" s="29"/>
      <c r="C489" s="30"/>
      <c r="D489" s="28"/>
      <c r="E489" s="28"/>
      <c r="F489" s="63" t="s">
        <v>47</v>
      </c>
      <c r="G489" s="38"/>
      <c r="H489" s="43"/>
      <c r="I489" s="48"/>
      <c r="J489" s="38"/>
      <c r="K489" s="39">
        <f t="shared" si="43"/>
        <v>0</v>
      </c>
      <c r="L489" s="58" t="s">
        <v>48</v>
      </c>
      <c r="M489" s="34">
        <v>74818.0</v>
      </c>
      <c r="N489" s="28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</row>
    <row r="490" ht="18.75" customHeight="1">
      <c r="A490" s="28"/>
      <c r="B490" s="29"/>
      <c r="C490" s="30"/>
      <c r="D490" s="28"/>
      <c r="E490" s="59"/>
      <c r="F490" s="63" t="s">
        <v>49</v>
      </c>
      <c r="G490" s="38"/>
      <c r="H490" s="48"/>
      <c r="I490" s="43"/>
      <c r="J490" s="38"/>
      <c r="K490" s="39">
        <f t="shared" si="43"/>
        <v>0</v>
      </c>
      <c r="L490" s="58" t="s">
        <v>78</v>
      </c>
      <c r="M490" s="38"/>
      <c r="N490" s="59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</row>
    <row r="491" ht="18.75" customHeight="1">
      <c r="A491" s="28"/>
      <c r="B491" s="29"/>
      <c r="C491" s="30"/>
      <c r="D491" s="28"/>
      <c r="E491" s="72">
        <f>N501</f>
        <v>150714</v>
      </c>
      <c r="F491" s="98" t="s">
        <v>108</v>
      </c>
      <c r="G491" s="2"/>
      <c r="H491" s="3"/>
      <c r="I491" s="43"/>
      <c r="J491" s="44"/>
      <c r="K491" s="64">
        <f>SUM(K483:K490)</f>
        <v>22800</v>
      </c>
      <c r="L491" s="65" t="s">
        <v>33</v>
      </c>
      <c r="M491" s="64">
        <f>SUM(M483:M490)</f>
        <v>88113</v>
      </c>
      <c r="N491" s="26">
        <f>E491+K491-M491</f>
        <v>85401</v>
      </c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</row>
    <row r="492" ht="66.0" customHeight="1">
      <c r="A492" s="59"/>
      <c r="B492" s="60"/>
      <c r="C492" s="61"/>
      <c r="D492" s="59"/>
      <c r="E492" s="63" t="s">
        <v>109</v>
      </c>
      <c r="F492" s="70" t="s">
        <v>179</v>
      </c>
      <c r="G492" s="2"/>
      <c r="H492" s="2"/>
      <c r="I492" s="2"/>
      <c r="J492" s="2"/>
      <c r="K492" s="2"/>
      <c r="L492" s="2"/>
      <c r="M492" s="2"/>
      <c r="N492" s="3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</row>
    <row r="493" ht="18.75" customHeight="1">
      <c r="A493" s="13">
        <v>1185.0</v>
      </c>
      <c r="B493" s="14">
        <v>45787.0</v>
      </c>
      <c r="C493" s="15"/>
      <c r="D493" s="16" t="s">
        <v>180</v>
      </c>
      <c r="E493" s="71" t="s">
        <v>15</v>
      </c>
      <c r="F493" s="40" t="s">
        <v>35</v>
      </c>
      <c r="G493" s="51">
        <v>200.0</v>
      </c>
      <c r="H493" s="66">
        <v>51.0</v>
      </c>
      <c r="I493" s="48"/>
      <c r="J493" s="38"/>
      <c r="K493" s="39">
        <f t="shared" ref="K493:K500" si="44">G493*H493</f>
        <v>10200</v>
      </c>
      <c r="L493" s="51" t="s">
        <v>36</v>
      </c>
      <c r="M493" s="39">
        <v>0.0</v>
      </c>
      <c r="N493" s="26">
        <f>K501-M501</f>
        <v>2230</v>
      </c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</row>
    <row r="494" ht="18.75" customHeight="1">
      <c r="A494" s="28"/>
      <c r="B494" s="29"/>
      <c r="C494" s="30"/>
      <c r="D494" s="28"/>
      <c r="E494" s="28"/>
      <c r="F494" s="67" t="s">
        <v>37</v>
      </c>
      <c r="G494" s="41">
        <v>150.0</v>
      </c>
      <c r="H494" s="42">
        <v>26.0</v>
      </c>
      <c r="I494" s="43"/>
      <c r="J494" s="44"/>
      <c r="K494" s="45">
        <f t="shared" si="44"/>
        <v>3900</v>
      </c>
      <c r="L494" s="41" t="s">
        <v>38</v>
      </c>
      <c r="M494" s="45">
        <v>200.0</v>
      </c>
      <c r="N494" s="35" t="s">
        <v>20</v>
      </c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</row>
    <row r="495" ht="18.75" customHeight="1">
      <c r="A495" s="28"/>
      <c r="B495" s="29"/>
      <c r="C495" s="30"/>
      <c r="D495" s="28"/>
      <c r="E495" s="28"/>
      <c r="F495" s="68" t="s">
        <v>39</v>
      </c>
      <c r="G495" s="51">
        <v>150.0</v>
      </c>
      <c r="H495" s="42"/>
      <c r="I495" s="48"/>
      <c r="J495" s="38"/>
      <c r="K495" s="39">
        <f t="shared" si="44"/>
        <v>0</v>
      </c>
      <c r="L495" s="58" t="s">
        <v>40</v>
      </c>
      <c r="M495" s="25">
        <v>400.0</v>
      </c>
      <c r="N495" s="28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</row>
    <row r="496" ht="18.75" customHeight="1">
      <c r="A496" s="28"/>
      <c r="B496" s="29"/>
      <c r="C496" s="30"/>
      <c r="D496" s="28"/>
      <c r="E496" s="28"/>
      <c r="F496" s="40" t="s">
        <v>41</v>
      </c>
      <c r="G496" s="41">
        <v>100.0</v>
      </c>
      <c r="H496" s="42"/>
      <c r="I496" s="43"/>
      <c r="J496" s="44"/>
      <c r="K496" s="45">
        <f t="shared" si="44"/>
        <v>0</v>
      </c>
      <c r="L496" s="65" t="s">
        <v>42</v>
      </c>
      <c r="M496" s="34">
        <v>3500.0</v>
      </c>
      <c r="N496" s="28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</row>
    <row r="497" ht="18.75" customHeight="1">
      <c r="A497" s="28"/>
      <c r="B497" s="29"/>
      <c r="C497" s="30"/>
      <c r="D497" s="28"/>
      <c r="E497" s="28"/>
      <c r="F497" s="47" t="s">
        <v>43</v>
      </c>
      <c r="G497" s="41">
        <v>200.0</v>
      </c>
      <c r="H497" s="43"/>
      <c r="I497" s="48"/>
      <c r="J497" s="38"/>
      <c r="K497" s="39">
        <f t="shared" si="44"/>
        <v>0</v>
      </c>
      <c r="L497" s="58" t="s">
        <v>44</v>
      </c>
      <c r="M497" s="25">
        <f>5150</f>
        <v>5150</v>
      </c>
      <c r="N497" s="28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</row>
    <row r="498" ht="18.75" customHeight="1">
      <c r="A498" s="28"/>
      <c r="B498" s="29"/>
      <c r="C498" s="30"/>
      <c r="D498" s="28"/>
      <c r="E498" s="28"/>
      <c r="F498" s="47" t="s">
        <v>45</v>
      </c>
      <c r="G498" s="51">
        <v>150.0</v>
      </c>
      <c r="H498" s="43"/>
      <c r="I498" s="48"/>
      <c r="J498" s="38"/>
      <c r="K498" s="39">
        <f t="shared" si="44"/>
        <v>0</v>
      </c>
      <c r="L498" s="65" t="s">
        <v>46</v>
      </c>
      <c r="M498" s="45">
        <f>1260+1360</f>
        <v>2620</v>
      </c>
      <c r="N498" s="28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</row>
    <row r="499" ht="18.75" customHeight="1">
      <c r="A499" s="28"/>
      <c r="B499" s="29"/>
      <c r="C499" s="30"/>
      <c r="D499" s="28"/>
      <c r="E499" s="28"/>
      <c r="F499" s="63" t="s">
        <v>47</v>
      </c>
      <c r="G499" s="38"/>
      <c r="H499" s="43"/>
      <c r="I499" s="48"/>
      <c r="J499" s="38"/>
      <c r="K499" s="39">
        <f t="shared" si="44"/>
        <v>0</v>
      </c>
      <c r="L499" s="58" t="s">
        <v>48</v>
      </c>
      <c r="M499" s="45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</row>
    <row r="500" ht="18.75" customHeight="1">
      <c r="A500" s="28"/>
      <c r="B500" s="29"/>
      <c r="C500" s="30"/>
      <c r="D500" s="28"/>
      <c r="E500" s="59"/>
      <c r="F500" s="63" t="s">
        <v>49</v>
      </c>
      <c r="G500" s="38"/>
      <c r="H500" s="48"/>
      <c r="I500" s="43"/>
      <c r="J500" s="38"/>
      <c r="K500" s="39">
        <f t="shared" si="44"/>
        <v>0</v>
      </c>
      <c r="L500" s="58" t="s">
        <v>78</v>
      </c>
      <c r="M500" s="38"/>
      <c r="N500" s="59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</row>
    <row r="501" ht="18.75" customHeight="1">
      <c r="A501" s="28"/>
      <c r="B501" s="29"/>
      <c r="C501" s="30"/>
      <c r="D501" s="28"/>
      <c r="E501" s="72">
        <f>N511</f>
        <v>148484</v>
      </c>
      <c r="F501" s="98" t="s">
        <v>108</v>
      </c>
      <c r="G501" s="2"/>
      <c r="H501" s="3"/>
      <c r="I501" s="43"/>
      <c r="J501" s="44"/>
      <c r="K501" s="64">
        <f>SUM(K493:K500)</f>
        <v>14100</v>
      </c>
      <c r="L501" s="65" t="s">
        <v>33</v>
      </c>
      <c r="M501" s="64">
        <f>SUM(M493:M500)</f>
        <v>11870</v>
      </c>
      <c r="N501" s="26">
        <f>E501+K501-M501</f>
        <v>150714</v>
      </c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</row>
    <row r="502" ht="45.0" customHeight="1">
      <c r="A502" s="59"/>
      <c r="B502" s="60"/>
      <c r="C502" s="61"/>
      <c r="D502" s="59"/>
      <c r="E502" s="63" t="s">
        <v>109</v>
      </c>
      <c r="F502" s="70" t="s">
        <v>181</v>
      </c>
      <c r="G502" s="2"/>
      <c r="H502" s="2"/>
      <c r="I502" s="2"/>
      <c r="J502" s="2"/>
      <c r="K502" s="2"/>
      <c r="L502" s="2"/>
      <c r="M502" s="2"/>
      <c r="N502" s="3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</row>
    <row r="503" ht="18.75" customHeight="1">
      <c r="A503" s="13">
        <v>1184.0</v>
      </c>
      <c r="B503" s="14">
        <v>45780.0</v>
      </c>
      <c r="C503" s="15"/>
      <c r="D503" s="16" t="s">
        <v>182</v>
      </c>
      <c r="E503" s="71" t="s">
        <v>15</v>
      </c>
      <c r="F503" s="40" t="s">
        <v>35</v>
      </c>
      <c r="G503" s="51">
        <v>200.0</v>
      </c>
      <c r="H503" s="66">
        <v>88.0</v>
      </c>
      <c r="I503" s="48"/>
      <c r="J503" s="38"/>
      <c r="K503" s="39">
        <f t="shared" ref="K503:K510" si="45">G503*H503</f>
        <v>17600</v>
      </c>
      <c r="L503" s="51" t="s">
        <v>36</v>
      </c>
      <c r="M503" s="39">
        <v>0.0</v>
      </c>
      <c r="N503" s="26">
        <f>K511-M511</f>
        <v>12500</v>
      </c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</row>
    <row r="504" ht="18.75" customHeight="1">
      <c r="A504" s="28"/>
      <c r="B504" s="29"/>
      <c r="C504" s="30"/>
      <c r="D504" s="28"/>
      <c r="E504" s="28"/>
      <c r="F504" s="67" t="s">
        <v>37</v>
      </c>
      <c r="G504" s="41">
        <v>150.0</v>
      </c>
      <c r="H504" s="42">
        <v>60.0</v>
      </c>
      <c r="I504" s="43"/>
      <c r="J504" s="44"/>
      <c r="K504" s="45">
        <f t="shared" si="45"/>
        <v>9000</v>
      </c>
      <c r="L504" s="41" t="s">
        <v>38</v>
      </c>
      <c r="M504" s="45">
        <v>200.0</v>
      </c>
      <c r="N504" s="35" t="s">
        <v>20</v>
      </c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</row>
    <row r="505" ht="18.75" customHeight="1">
      <c r="A505" s="28"/>
      <c r="B505" s="29"/>
      <c r="C505" s="30"/>
      <c r="D505" s="28"/>
      <c r="E505" s="28"/>
      <c r="F505" s="68" t="s">
        <v>39</v>
      </c>
      <c r="G505" s="51">
        <v>150.0</v>
      </c>
      <c r="H505" s="42">
        <v>1.0</v>
      </c>
      <c r="I505" s="48"/>
      <c r="J505" s="38"/>
      <c r="K505" s="39">
        <f t="shared" si="45"/>
        <v>150</v>
      </c>
      <c r="L505" s="58" t="s">
        <v>40</v>
      </c>
      <c r="M505" s="25">
        <v>350.0</v>
      </c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</row>
    <row r="506" ht="18.75" customHeight="1">
      <c r="A506" s="28"/>
      <c r="B506" s="29"/>
      <c r="C506" s="30"/>
      <c r="D506" s="28"/>
      <c r="E506" s="28"/>
      <c r="F506" s="40" t="s">
        <v>41</v>
      </c>
      <c r="G506" s="41">
        <v>100.0</v>
      </c>
      <c r="H506" s="42"/>
      <c r="I506" s="43"/>
      <c r="J506" s="44"/>
      <c r="K506" s="45">
        <f t="shared" si="45"/>
        <v>0</v>
      </c>
      <c r="L506" s="65" t="s">
        <v>42</v>
      </c>
      <c r="M506" s="34">
        <v>3500.0</v>
      </c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</row>
    <row r="507" ht="18.75" customHeight="1">
      <c r="A507" s="28"/>
      <c r="B507" s="29"/>
      <c r="C507" s="30"/>
      <c r="D507" s="28"/>
      <c r="E507" s="28"/>
      <c r="F507" s="47" t="s">
        <v>43</v>
      </c>
      <c r="G507" s="41">
        <v>200.0</v>
      </c>
      <c r="H507" s="43"/>
      <c r="I507" s="48"/>
      <c r="J507" s="38"/>
      <c r="K507" s="39">
        <f t="shared" si="45"/>
        <v>0</v>
      </c>
      <c r="L507" s="58" t="s">
        <v>44</v>
      </c>
      <c r="M507" s="25">
        <f>6510</f>
        <v>6510</v>
      </c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</row>
    <row r="508" ht="18.75" customHeight="1">
      <c r="A508" s="28"/>
      <c r="B508" s="29"/>
      <c r="C508" s="30"/>
      <c r="D508" s="28"/>
      <c r="E508" s="28"/>
      <c r="F508" s="47" t="s">
        <v>45</v>
      </c>
      <c r="G508" s="51">
        <v>150.0</v>
      </c>
      <c r="H508" s="43"/>
      <c r="I508" s="48"/>
      <c r="J508" s="38"/>
      <c r="K508" s="39">
        <f t="shared" si="45"/>
        <v>0</v>
      </c>
      <c r="L508" s="65" t="s">
        <v>46</v>
      </c>
      <c r="M508" s="45">
        <f>1070+1240+180</f>
        <v>2490</v>
      </c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</row>
    <row r="509" ht="18.75" customHeight="1">
      <c r="A509" s="28"/>
      <c r="B509" s="29"/>
      <c r="C509" s="30"/>
      <c r="D509" s="28"/>
      <c r="E509" s="28"/>
      <c r="F509" s="63" t="s">
        <v>47</v>
      </c>
      <c r="G509" s="38"/>
      <c r="H509" s="43"/>
      <c r="I509" s="48"/>
      <c r="J509" s="38"/>
      <c r="K509" s="39">
        <f t="shared" si="45"/>
        <v>0</v>
      </c>
      <c r="L509" s="58" t="s">
        <v>48</v>
      </c>
      <c r="M509" s="45">
        <f>1200</f>
        <v>1200</v>
      </c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</row>
    <row r="510" ht="18.75" customHeight="1">
      <c r="A510" s="28"/>
      <c r="B510" s="29"/>
      <c r="C510" s="30"/>
      <c r="D510" s="28"/>
      <c r="E510" s="59"/>
      <c r="F510" s="63" t="s">
        <v>49</v>
      </c>
      <c r="G510" s="38"/>
      <c r="H510" s="48"/>
      <c r="I510" s="43"/>
      <c r="J510" s="38"/>
      <c r="K510" s="39">
        <f t="shared" si="45"/>
        <v>0</v>
      </c>
      <c r="L510" s="58" t="s">
        <v>78</v>
      </c>
      <c r="M510" s="38"/>
      <c r="N510" s="59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</row>
    <row r="511" ht="18.75" customHeight="1">
      <c r="A511" s="28"/>
      <c r="B511" s="29"/>
      <c r="C511" s="30"/>
      <c r="D511" s="28"/>
      <c r="E511" s="72">
        <f>N564</f>
        <v>135984</v>
      </c>
      <c r="F511" s="98" t="s">
        <v>108</v>
      </c>
      <c r="G511" s="2"/>
      <c r="H511" s="3"/>
      <c r="I511" s="43"/>
      <c r="J511" s="44"/>
      <c r="K511" s="64">
        <f>SUM(K503:K510)</f>
        <v>26750</v>
      </c>
      <c r="L511" s="65" t="s">
        <v>33</v>
      </c>
      <c r="M511" s="64">
        <f>SUM(M503:M510)</f>
        <v>14250</v>
      </c>
      <c r="N511" s="26">
        <f>E511+K511-M511</f>
        <v>148484</v>
      </c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</row>
    <row r="512" ht="69.75" customHeight="1">
      <c r="A512" s="59"/>
      <c r="B512" s="60"/>
      <c r="C512" s="61"/>
      <c r="D512" s="59"/>
      <c r="E512" s="63" t="s">
        <v>109</v>
      </c>
      <c r="F512" s="70" t="s">
        <v>183</v>
      </c>
      <c r="G512" s="2"/>
      <c r="H512" s="2"/>
      <c r="I512" s="2"/>
      <c r="J512" s="2"/>
      <c r="K512" s="2"/>
      <c r="L512" s="2"/>
      <c r="M512" s="2"/>
      <c r="N512" s="3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</row>
    <row r="513" ht="18.75" customHeight="1">
      <c r="A513" s="13">
        <v>1183.0</v>
      </c>
      <c r="B513" s="14">
        <v>45773.0</v>
      </c>
      <c r="C513" s="15"/>
      <c r="D513" s="16" t="s">
        <v>184</v>
      </c>
      <c r="E513" s="71" t="s">
        <v>15</v>
      </c>
      <c r="F513" s="101" t="s">
        <v>138</v>
      </c>
      <c r="G513" s="77">
        <v>1300.0</v>
      </c>
      <c r="H513" s="66">
        <v>69.0</v>
      </c>
      <c r="I513" s="48"/>
      <c r="J513" s="38"/>
      <c r="K513" s="45">
        <f t="shared" ref="K513:K523" si="46">G513*H513</f>
        <v>89700</v>
      </c>
      <c r="L513" s="97" t="s">
        <v>185</v>
      </c>
      <c r="M513" s="25">
        <v>84000.0</v>
      </c>
      <c r="N513" s="26">
        <f>K544-M544</f>
        <v>0</v>
      </c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</row>
    <row r="514" ht="18.75" customHeight="1">
      <c r="A514" s="28"/>
      <c r="B514" s="29"/>
      <c r="C514" s="30"/>
      <c r="D514" s="28"/>
      <c r="E514" s="28"/>
      <c r="F514" s="101" t="s">
        <v>140</v>
      </c>
      <c r="G514" s="77">
        <v>1250.0</v>
      </c>
      <c r="H514" s="42">
        <v>51.0</v>
      </c>
      <c r="I514" s="43"/>
      <c r="J514" s="44"/>
      <c r="K514" s="45">
        <f t="shared" si="46"/>
        <v>63750</v>
      </c>
      <c r="L514" s="100" t="s">
        <v>186</v>
      </c>
      <c r="M514" s="34">
        <v>18500.0</v>
      </c>
      <c r="N514" s="35" t="s">
        <v>20</v>
      </c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</row>
    <row r="515" ht="18.75" customHeight="1">
      <c r="A515" s="28"/>
      <c r="B515" s="29"/>
      <c r="C515" s="30"/>
      <c r="D515" s="28"/>
      <c r="E515" s="28"/>
      <c r="F515" s="101" t="s">
        <v>187</v>
      </c>
      <c r="G515" s="77">
        <v>700.0</v>
      </c>
      <c r="H515" s="42">
        <v>1.0</v>
      </c>
      <c r="I515" s="43"/>
      <c r="J515" s="44"/>
      <c r="K515" s="45">
        <f t="shared" si="46"/>
        <v>700</v>
      </c>
      <c r="L515" s="80" t="s">
        <v>188</v>
      </c>
      <c r="M515" s="25">
        <v>1500.0</v>
      </c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</row>
    <row r="516" ht="18.75" customHeight="1">
      <c r="A516" s="28"/>
      <c r="B516" s="29"/>
      <c r="C516" s="30"/>
      <c r="D516" s="28"/>
      <c r="E516" s="28"/>
      <c r="F516" s="101" t="s">
        <v>189</v>
      </c>
      <c r="G516" s="77">
        <v>900.0</v>
      </c>
      <c r="H516" s="42">
        <v>2.0</v>
      </c>
      <c r="I516" s="43"/>
      <c r="J516" s="44"/>
      <c r="K516" s="45">
        <f t="shared" si="46"/>
        <v>1800</v>
      </c>
      <c r="L516" s="100" t="s">
        <v>190</v>
      </c>
      <c r="M516" s="45">
        <f>1780</f>
        <v>1780</v>
      </c>
      <c r="N516" s="28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</row>
    <row r="517" ht="18.75" customHeight="1">
      <c r="A517" s="28"/>
      <c r="B517" s="29"/>
      <c r="C517" s="30"/>
      <c r="D517" s="28"/>
      <c r="E517" s="28"/>
      <c r="F517" s="110" t="s">
        <v>191</v>
      </c>
      <c r="G517" s="77">
        <v>900.0</v>
      </c>
      <c r="H517" s="42">
        <v>31.0</v>
      </c>
      <c r="I517" s="43"/>
      <c r="J517" s="44"/>
      <c r="K517" s="45">
        <f t="shared" si="46"/>
        <v>27900</v>
      </c>
      <c r="L517" s="80" t="s">
        <v>192</v>
      </c>
      <c r="M517" s="34">
        <v>1590.0</v>
      </c>
      <c r="N517" s="28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</row>
    <row r="518" ht="18.75" customHeight="1">
      <c r="A518" s="28"/>
      <c r="B518" s="29"/>
      <c r="C518" s="30"/>
      <c r="D518" s="28"/>
      <c r="E518" s="28"/>
      <c r="F518" s="110" t="s">
        <v>193</v>
      </c>
      <c r="G518" s="77">
        <v>850.0</v>
      </c>
      <c r="H518" s="42">
        <v>25.0</v>
      </c>
      <c r="I518" s="43"/>
      <c r="J518" s="44"/>
      <c r="K518" s="45">
        <f t="shared" si="46"/>
        <v>21250</v>
      </c>
      <c r="L518" s="80" t="s">
        <v>194</v>
      </c>
      <c r="M518" s="34">
        <v>1800.0</v>
      </c>
      <c r="N518" s="28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</row>
    <row r="519" ht="18.75" customHeight="1">
      <c r="A519" s="28"/>
      <c r="B519" s="29"/>
      <c r="C519" s="30"/>
      <c r="D519" s="28"/>
      <c r="E519" s="28"/>
      <c r="F519" s="111" t="s">
        <v>195</v>
      </c>
      <c r="G519" s="77">
        <v>900.0</v>
      </c>
      <c r="H519" s="42">
        <v>12.0</v>
      </c>
      <c r="I519" s="43"/>
      <c r="J519" s="44"/>
      <c r="K519" s="45">
        <f t="shared" si="46"/>
        <v>10800</v>
      </c>
      <c r="L519" s="80" t="s">
        <v>196</v>
      </c>
      <c r="M519" s="34">
        <v>21000.0</v>
      </c>
      <c r="N519" s="28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</row>
    <row r="520" ht="18.75" customHeight="1">
      <c r="A520" s="28"/>
      <c r="B520" s="29"/>
      <c r="C520" s="30"/>
      <c r="D520" s="28"/>
      <c r="E520" s="28"/>
      <c r="F520" s="105" t="s">
        <v>197</v>
      </c>
      <c r="G520" s="77">
        <v>900.0</v>
      </c>
      <c r="H520" s="42">
        <v>3.0</v>
      </c>
      <c r="I520" s="48"/>
      <c r="J520" s="38"/>
      <c r="K520" s="39">
        <f t="shared" si="46"/>
        <v>2700</v>
      </c>
      <c r="L520" s="80" t="s">
        <v>198</v>
      </c>
      <c r="M520" s="34">
        <v>56000.0</v>
      </c>
      <c r="N520" s="28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</row>
    <row r="521" ht="18.75" customHeight="1">
      <c r="A521" s="28"/>
      <c r="B521" s="29"/>
      <c r="C521" s="30"/>
      <c r="D521" s="28"/>
      <c r="E521" s="28"/>
      <c r="F521" s="106" t="s">
        <v>199</v>
      </c>
      <c r="G521" s="77">
        <v>900.0</v>
      </c>
      <c r="H521" s="42">
        <v>6.0</v>
      </c>
      <c r="I521" s="43"/>
      <c r="J521" s="44"/>
      <c r="K521" s="45">
        <f t="shared" si="46"/>
        <v>5400</v>
      </c>
      <c r="L521" s="80" t="s">
        <v>151</v>
      </c>
      <c r="M521" s="34">
        <v>9409.0</v>
      </c>
      <c r="N521" s="28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</row>
    <row r="522" ht="18.75" customHeight="1">
      <c r="A522" s="28"/>
      <c r="B522" s="29"/>
      <c r="C522" s="30"/>
      <c r="D522" s="28"/>
      <c r="E522" s="28"/>
      <c r="F522" s="107" t="s">
        <v>200</v>
      </c>
      <c r="G522" s="77">
        <v>900.0</v>
      </c>
      <c r="H522" s="42">
        <v>22.0</v>
      </c>
      <c r="I522" s="48"/>
      <c r="J522" s="38"/>
      <c r="K522" s="39">
        <f t="shared" si="46"/>
        <v>19800</v>
      </c>
      <c r="L522" s="80" t="s">
        <v>201</v>
      </c>
      <c r="M522" s="34">
        <v>10000.0</v>
      </c>
      <c r="N522" s="28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</row>
    <row r="523" ht="18.75" customHeight="1">
      <c r="A523" s="28"/>
      <c r="B523" s="29"/>
      <c r="C523" s="30"/>
      <c r="D523" s="28"/>
      <c r="E523" s="28"/>
      <c r="F523" s="107" t="s">
        <v>202</v>
      </c>
      <c r="G523" s="77">
        <v>300.0</v>
      </c>
      <c r="H523" s="42">
        <v>13.0</v>
      </c>
      <c r="I523" s="48"/>
      <c r="J523" s="38"/>
      <c r="K523" s="39">
        <f t="shared" si="46"/>
        <v>3900</v>
      </c>
      <c r="L523" s="80" t="s">
        <v>203</v>
      </c>
      <c r="M523" s="34">
        <v>9000.0</v>
      </c>
      <c r="N523" s="28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</row>
    <row r="524" ht="18.75" customHeight="1">
      <c r="A524" s="28"/>
      <c r="B524" s="29"/>
      <c r="C524" s="30"/>
      <c r="D524" s="28"/>
      <c r="E524" s="28"/>
      <c r="F524" s="96" t="s">
        <v>204</v>
      </c>
      <c r="G524" s="38"/>
      <c r="H524" s="43"/>
      <c r="I524" s="48"/>
      <c r="J524" s="38"/>
      <c r="K524" s="25">
        <v>12609.0</v>
      </c>
      <c r="L524" s="80" t="s">
        <v>205</v>
      </c>
      <c r="M524" s="34">
        <v>5000.0</v>
      </c>
      <c r="N524" s="28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</row>
    <row r="525" ht="18.75" customHeight="1">
      <c r="A525" s="28"/>
      <c r="B525" s="29"/>
      <c r="C525" s="30"/>
      <c r="D525" s="28"/>
      <c r="E525" s="28"/>
      <c r="F525" s="96" t="s">
        <v>206</v>
      </c>
      <c r="G525" s="38"/>
      <c r="H525" s="43"/>
      <c r="I525" s="48"/>
      <c r="J525" s="38"/>
      <c r="K525" s="25">
        <v>7000.0</v>
      </c>
      <c r="L525" s="80" t="s">
        <v>207</v>
      </c>
      <c r="M525" s="34">
        <v>12500.0</v>
      </c>
      <c r="N525" s="28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</row>
    <row r="526" ht="18.75" customHeight="1">
      <c r="A526" s="28"/>
      <c r="B526" s="29"/>
      <c r="C526" s="30"/>
      <c r="D526" s="28"/>
      <c r="E526" s="28"/>
      <c r="F526" s="96" t="s">
        <v>208</v>
      </c>
      <c r="G526" s="38"/>
      <c r="H526" s="43"/>
      <c r="I526" s="48"/>
      <c r="J526" s="38"/>
      <c r="K526" s="25">
        <v>5000.0</v>
      </c>
      <c r="L526" s="80" t="s">
        <v>156</v>
      </c>
      <c r="M526" s="34">
        <v>21980.0</v>
      </c>
      <c r="N526" s="28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</row>
    <row r="527" ht="18.75" customHeight="1">
      <c r="A527" s="28"/>
      <c r="B527" s="29"/>
      <c r="C527" s="30"/>
      <c r="D527" s="28"/>
      <c r="E527" s="28"/>
      <c r="F527" s="96" t="s">
        <v>209</v>
      </c>
      <c r="G527" s="38"/>
      <c r="H527" s="43"/>
      <c r="I527" s="48"/>
      <c r="J527" s="38"/>
      <c r="K527" s="25">
        <v>5000.0</v>
      </c>
      <c r="L527" s="80" t="s">
        <v>210</v>
      </c>
      <c r="M527" s="34">
        <v>9000.0</v>
      </c>
      <c r="N527" s="28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</row>
    <row r="528" ht="18.75" customHeight="1">
      <c r="A528" s="28"/>
      <c r="B528" s="29"/>
      <c r="C528" s="30"/>
      <c r="D528" s="28"/>
      <c r="E528" s="28"/>
      <c r="F528" s="96" t="s">
        <v>211</v>
      </c>
      <c r="G528" s="38"/>
      <c r="H528" s="43"/>
      <c r="I528" s="48"/>
      <c r="J528" s="38"/>
      <c r="K528" s="25">
        <v>5000.0</v>
      </c>
      <c r="L528" s="80" t="s">
        <v>212</v>
      </c>
      <c r="M528" s="34">
        <v>1000.0</v>
      </c>
      <c r="N528" s="28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</row>
    <row r="529" ht="18.75" customHeight="1">
      <c r="A529" s="28"/>
      <c r="B529" s="29"/>
      <c r="C529" s="30"/>
      <c r="D529" s="28"/>
      <c r="E529" s="28"/>
      <c r="F529" s="96" t="s">
        <v>213</v>
      </c>
      <c r="G529" s="38"/>
      <c r="H529" s="43"/>
      <c r="I529" s="48"/>
      <c r="J529" s="38"/>
      <c r="K529" s="25">
        <v>5000.0</v>
      </c>
      <c r="L529" s="112" t="s">
        <v>214</v>
      </c>
      <c r="M529" s="34">
        <v>57250.0</v>
      </c>
      <c r="N529" s="28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</row>
    <row r="530" ht="18.75" customHeight="1">
      <c r="A530" s="28"/>
      <c r="B530" s="29"/>
      <c r="C530" s="30"/>
      <c r="D530" s="28"/>
      <c r="E530" s="28"/>
      <c r="F530" s="96" t="s">
        <v>215</v>
      </c>
      <c r="G530" s="38"/>
      <c r="H530" s="43"/>
      <c r="I530" s="48"/>
      <c r="J530" s="38"/>
      <c r="K530" s="25">
        <v>7000.0</v>
      </c>
      <c r="L530" s="80"/>
      <c r="M530" s="34"/>
      <c r="N530" s="28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</row>
    <row r="531" ht="18.75" customHeight="1">
      <c r="A531" s="28"/>
      <c r="B531" s="29"/>
      <c r="C531" s="30"/>
      <c r="D531" s="28"/>
      <c r="E531" s="28"/>
      <c r="F531" s="96" t="s">
        <v>216</v>
      </c>
      <c r="G531" s="38"/>
      <c r="H531" s="43"/>
      <c r="I531" s="48"/>
      <c r="J531" s="38"/>
      <c r="K531" s="25">
        <v>5000.0</v>
      </c>
      <c r="L531" s="112"/>
      <c r="M531" s="34"/>
      <c r="N531" s="28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</row>
    <row r="532" ht="18.75" customHeight="1">
      <c r="A532" s="28"/>
      <c r="B532" s="29"/>
      <c r="C532" s="30"/>
      <c r="D532" s="28"/>
      <c r="E532" s="28"/>
      <c r="F532" s="96" t="s">
        <v>217</v>
      </c>
      <c r="G532" s="38"/>
      <c r="H532" s="43"/>
      <c r="I532" s="48"/>
      <c r="J532" s="38"/>
      <c r="K532" s="25">
        <v>3000.0</v>
      </c>
      <c r="L532" s="80"/>
      <c r="M532" s="34"/>
      <c r="N532" s="28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</row>
    <row r="533" ht="18.75" customHeight="1">
      <c r="A533" s="28"/>
      <c r="B533" s="29"/>
      <c r="C533" s="30"/>
      <c r="D533" s="28"/>
      <c r="E533" s="28"/>
      <c r="F533" s="96" t="s">
        <v>218</v>
      </c>
      <c r="G533" s="38"/>
      <c r="H533" s="43"/>
      <c r="I533" s="48"/>
      <c r="J533" s="38"/>
      <c r="K533" s="25">
        <v>3000.0</v>
      </c>
      <c r="L533" s="80"/>
      <c r="M533" s="34"/>
      <c r="N533" s="28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</row>
    <row r="534" ht="18.75" customHeight="1">
      <c r="A534" s="28"/>
      <c r="B534" s="29"/>
      <c r="C534" s="30"/>
      <c r="D534" s="28"/>
      <c r="E534" s="28"/>
      <c r="F534" s="96" t="s">
        <v>219</v>
      </c>
      <c r="G534" s="38"/>
      <c r="H534" s="43"/>
      <c r="I534" s="48"/>
      <c r="J534" s="38"/>
      <c r="K534" s="25">
        <v>3000.0</v>
      </c>
      <c r="L534" s="80"/>
      <c r="M534" s="34"/>
      <c r="N534" s="28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</row>
    <row r="535" ht="18.75" customHeight="1">
      <c r="A535" s="28"/>
      <c r="B535" s="29"/>
      <c r="C535" s="30"/>
      <c r="D535" s="28"/>
      <c r="E535" s="28"/>
      <c r="F535" s="96" t="s">
        <v>220</v>
      </c>
      <c r="G535" s="38"/>
      <c r="H535" s="43"/>
      <c r="I535" s="48"/>
      <c r="J535" s="38"/>
      <c r="K535" s="25">
        <v>3000.0</v>
      </c>
      <c r="L535" s="80"/>
      <c r="M535" s="34"/>
      <c r="N535" s="28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</row>
    <row r="536" ht="18.75" customHeight="1">
      <c r="A536" s="28"/>
      <c r="B536" s="29"/>
      <c r="C536" s="30"/>
      <c r="D536" s="28"/>
      <c r="E536" s="28"/>
      <c r="F536" s="96" t="s">
        <v>221</v>
      </c>
      <c r="G536" s="38"/>
      <c r="H536" s="43"/>
      <c r="I536" s="48"/>
      <c r="J536" s="38"/>
      <c r="K536" s="25">
        <v>2000.0</v>
      </c>
      <c r="L536" s="80"/>
      <c r="M536" s="34"/>
      <c r="N536" s="28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</row>
    <row r="537" ht="18.75" customHeight="1">
      <c r="A537" s="28"/>
      <c r="B537" s="29"/>
      <c r="C537" s="30"/>
      <c r="D537" s="28"/>
      <c r="E537" s="28"/>
      <c r="F537" s="96" t="s">
        <v>222</v>
      </c>
      <c r="G537" s="38"/>
      <c r="H537" s="43"/>
      <c r="I537" s="48"/>
      <c r="J537" s="38"/>
      <c r="K537" s="25">
        <v>2000.0</v>
      </c>
      <c r="L537" s="58"/>
      <c r="M537" s="45"/>
      <c r="N537" s="28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</row>
    <row r="538" ht="18.75" customHeight="1">
      <c r="A538" s="28"/>
      <c r="B538" s="29"/>
      <c r="C538" s="30"/>
      <c r="D538" s="28"/>
      <c r="E538" s="28"/>
      <c r="F538" s="96" t="s">
        <v>223</v>
      </c>
      <c r="G538" s="38"/>
      <c r="H538" s="43"/>
      <c r="I538" s="48"/>
      <c r="J538" s="38"/>
      <c r="K538" s="25">
        <v>2000.0</v>
      </c>
      <c r="L538" s="58"/>
      <c r="M538" s="45"/>
      <c r="N538" s="28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</row>
    <row r="539" ht="18.75" customHeight="1">
      <c r="A539" s="28"/>
      <c r="B539" s="29"/>
      <c r="C539" s="30"/>
      <c r="D539" s="28"/>
      <c r="E539" s="28"/>
      <c r="F539" s="96" t="s">
        <v>224</v>
      </c>
      <c r="G539" s="38"/>
      <c r="H539" s="43"/>
      <c r="I539" s="48"/>
      <c r="J539" s="38"/>
      <c r="K539" s="25">
        <v>2000.0</v>
      </c>
      <c r="L539" s="58"/>
      <c r="M539" s="45"/>
      <c r="N539" s="28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</row>
    <row r="540" ht="18.75" customHeight="1">
      <c r="A540" s="28"/>
      <c r="B540" s="29"/>
      <c r="C540" s="30"/>
      <c r="D540" s="28"/>
      <c r="E540" s="59"/>
      <c r="F540" s="113" t="s">
        <v>225</v>
      </c>
      <c r="G540" s="38"/>
      <c r="H540" s="43"/>
      <c r="I540" s="48"/>
      <c r="J540" s="38"/>
      <c r="K540" s="25">
        <v>2000.0</v>
      </c>
      <c r="L540" s="58"/>
      <c r="M540" s="45"/>
      <c r="N540" s="59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</row>
    <row r="541" ht="18.75" customHeight="1">
      <c r="A541" s="28"/>
      <c r="B541" s="29"/>
      <c r="C541" s="30"/>
      <c r="D541" s="28"/>
      <c r="E541" s="63"/>
      <c r="F541" s="113" t="s">
        <v>226</v>
      </c>
      <c r="G541" s="38"/>
      <c r="H541" s="43"/>
      <c r="I541" s="48"/>
      <c r="J541" s="38"/>
      <c r="K541" s="25"/>
      <c r="L541" s="58"/>
      <c r="M541" s="45"/>
      <c r="N541" s="9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</row>
    <row r="542" ht="18.75" customHeight="1">
      <c r="A542" s="28"/>
      <c r="B542" s="29"/>
      <c r="C542" s="30"/>
      <c r="D542" s="28"/>
      <c r="E542" s="72"/>
      <c r="F542" s="113" t="s">
        <v>227</v>
      </c>
      <c r="G542" s="9"/>
      <c r="H542" s="9"/>
      <c r="I542" s="43"/>
      <c r="J542" s="44"/>
      <c r="K542" s="64"/>
      <c r="L542" s="65"/>
      <c r="M542" s="64"/>
      <c r="N542" s="26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</row>
    <row r="543" ht="18.75" customHeight="1">
      <c r="A543" s="28"/>
      <c r="B543" s="29"/>
      <c r="C543" s="30"/>
      <c r="D543" s="28"/>
      <c r="E543" s="72"/>
      <c r="F543" s="9"/>
      <c r="G543" s="9"/>
      <c r="H543" s="9"/>
      <c r="I543" s="43"/>
      <c r="J543" s="44"/>
      <c r="K543" s="64"/>
      <c r="L543" s="65"/>
      <c r="M543" s="64"/>
      <c r="N543" s="26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</row>
    <row r="544" ht="18.75" customHeight="1">
      <c r="A544" s="28"/>
      <c r="B544" s="29"/>
      <c r="C544" s="30"/>
      <c r="D544" s="28"/>
      <c r="E544" s="72">
        <f>N564</f>
        <v>135984</v>
      </c>
      <c r="F544" s="98" t="s">
        <v>108</v>
      </c>
      <c r="G544" s="2"/>
      <c r="H544" s="3"/>
      <c r="I544" s="43"/>
      <c r="J544" s="44"/>
      <c r="K544" s="64">
        <f>SUM(K513:K540)</f>
        <v>321309</v>
      </c>
      <c r="L544" s="65" t="s">
        <v>33</v>
      </c>
      <c r="M544" s="64">
        <f>SUM(M513:M540)</f>
        <v>321309</v>
      </c>
      <c r="N544" s="26">
        <f>E544+K544-M544</f>
        <v>135984</v>
      </c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</row>
    <row r="545" ht="18.75" customHeight="1">
      <c r="A545" s="59"/>
      <c r="B545" s="60"/>
      <c r="C545" s="61"/>
      <c r="D545" s="59"/>
      <c r="E545" s="63" t="s">
        <v>109</v>
      </c>
      <c r="F545" s="70"/>
      <c r="G545" s="2"/>
      <c r="H545" s="2"/>
      <c r="I545" s="2"/>
      <c r="J545" s="2"/>
      <c r="K545" s="2"/>
      <c r="L545" s="2"/>
      <c r="M545" s="2"/>
      <c r="N545" s="3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</row>
    <row r="546" ht="18.75" customHeight="1">
      <c r="A546" s="13">
        <v>1182.0</v>
      </c>
      <c r="B546" s="14">
        <v>45766.0</v>
      </c>
      <c r="C546" s="15"/>
      <c r="D546" s="16" t="s">
        <v>228</v>
      </c>
      <c r="E546" s="71" t="s">
        <v>15</v>
      </c>
      <c r="F546" s="40" t="s">
        <v>35</v>
      </c>
      <c r="G546" s="53">
        <v>1600.0</v>
      </c>
      <c r="H546" s="66">
        <v>20.0</v>
      </c>
      <c r="I546" s="48"/>
      <c r="J546" s="38"/>
      <c r="K546" s="39">
        <f t="shared" ref="K546:K553" si="47">G546*H546</f>
        <v>32000</v>
      </c>
      <c r="L546" s="51" t="s">
        <v>36</v>
      </c>
      <c r="M546" s="39">
        <v>0.0</v>
      </c>
      <c r="N546" s="26">
        <f>K554-M554</f>
        <v>0</v>
      </c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</row>
    <row r="547" ht="18.75" customHeight="1">
      <c r="A547" s="28"/>
      <c r="B547" s="29"/>
      <c r="C547" s="30"/>
      <c r="D547" s="28"/>
      <c r="E547" s="28"/>
      <c r="F547" s="67" t="s">
        <v>37</v>
      </c>
      <c r="G547" s="77">
        <v>1550.0</v>
      </c>
      <c r="H547" s="42">
        <v>13.0</v>
      </c>
      <c r="I547" s="43"/>
      <c r="J547" s="44"/>
      <c r="K547" s="45">
        <f t="shared" si="47"/>
        <v>20150</v>
      </c>
      <c r="L547" s="41" t="s">
        <v>38</v>
      </c>
      <c r="M547" s="34">
        <v>0.0</v>
      </c>
      <c r="N547" s="35" t="s">
        <v>20</v>
      </c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</row>
    <row r="548" ht="18.75" customHeight="1">
      <c r="A548" s="28"/>
      <c r="B548" s="29"/>
      <c r="C548" s="30"/>
      <c r="D548" s="28"/>
      <c r="E548" s="28"/>
      <c r="F548" s="68" t="s">
        <v>39</v>
      </c>
      <c r="G548" s="51">
        <v>150.0</v>
      </c>
      <c r="H548" s="42"/>
      <c r="I548" s="48"/>
      <c r="J548" s="38"/>
      <c r="K548" s="39">
        <f t="shared" si="47"/>
        <v>0</v>
      </c>
      <c r="L548" s="58" t="s">
        <v>40</v>
      </c>
      <c r="M548" s="25">
        <v>0.0</v>
      </c>
      <c r="N548" s="28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</row>
    <row r="549" ht="18.75" customHeight="1">
      <c r="A549" s="28"/>
      <c r="B549" s="29"/>
      <c r="C549" s="30"/>
      <c r="D549" s="28"/>
      <c r="E549" s="28"/>
      <c r="F549" s="40" t="s">
        <v>41</v>
      </c>
      <c r="G549" s="41">
        <v>100.0</v>
      </c>
      <c r="H549" s="42"/>
      <c r="I549" s="43"/>
      <c r="J549" s="44"/>
      <c r="K549" s="45">
        <f t="shared" si="47"/>
        <v>0</v>
      </c>
      <c r="L549" s="100" t="s">
        <v>229</v>
      </c>
      <c r="M549" s="34">
        <v>13500.0</v>
      </c>
      <c r="N549" s="28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</row>
    <row r="550" ht="18.75" customHeight="1">
      <c r="A550" s="28"/>
      <c r="B550" s="29"/>
      <c r="C550" s="30"/>
      <c r="D550" s="28"/>
      <c r="E550" s="28"/>
      <c r="F550" s="47" t="s">
        <v>43</v>
      </c>
      <c r="G550" s="41">
        <v>200.0</v>
      </c>
      <c r="H550" s="43"/>
      <c r="I550" s="48"/>
      <c r="J550" s="38"/>
      <c r="K550" s="39">
        <f t="shared" si="47"/>
        <v>0</v>
      </c>
      <c r="L550" s="80" t="s">
        <v>230</v>
      </c>
      <c r="M550" s="25">
        <f>3400</f>
        <v>3400</v>
      </c>
      <c r="N550" s="28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</row>
    <row r="551" ht="18.75" customHeight="1">
      <c r="A551" s="28"/>
      <c r="B551" s="29"/>
      <c r="C551" s="30"/>
      <c r="D551" s="28"/>
      <c r="E551" s="28"/>
      <c r="F551" s="47" t="s">
        <v>45</v>
      </c>
      <c r="G551" s="51">
        <v>150.0</v>
      </c>
      <c r="H551" s="43"/>
      <c r="I551" s="48"/>
      <c r="J551" s="38"/>
      <c r="K551" s="39">
        <f t="shared" si="47"/>
        <v>0</v>
      </c>
      <c r="L551" s="65" t="s">
        <v>46</v>
      </c>
      <c r="M551" s="45">
        <f>36300</f>
        <v>36300</v>
      </c>
      <c r="N551" s="28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</row>
    <row r="552" ht="18.75" customHeight="1">
      <c r="A552" s="28"/>
      <c r="B552" s="29"/>
      <c r="C552" s="30"/>
      <c r="D552" s="28"/>
      <c r="E552" s="28"/>
      <c r="F552" s="114" t="s">
        <v>231</v>
      </c>
      <c r="G552" s="53">
        <v>1050.0</v>
      </c>
      <c r="H552" s="42">
        <v>1.0</v>
      </c>
      <c r="I552" s="48"/>
      <c r="J552" s="38"/>
      <c r="K552" s="39">
        <f t="shared" si="47"/>
        <v>1050</v>
      </c>
      <c r="L552" s="58" t="s">
        <v>48</v>
      </c>
      <c r="M552" s="45">
        <f>0</f>
        <v>0</v>
      </c>
      <c r="N552" s="28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</row>
    <row r="553" ht="18.75" customHeight="1">
      <c r="A553" s="28"/>
      <c r="B553" s="29"/>
      <c r="C553" s="30"/>
      <c r="D553" s="28"/>
      <c r="E553" s="59"/>
      <c r="F553" s="63" t="s">
        <v>49</v>
      </c>
      <c r="G553" s="38"/>
      <c r="H553" s="48"/>
      <c r="I553" s="43"/>
      <c r="J553" s="38"/>
      <c r="K553" s="39">
        <f t="shared" si="47"/>
        <v>0</v>
      </c>
      <c r="L553" s="58" t="s">
        <v>78</v>
      </c>
      <c r="M553" s="38"/>
      <c r="N553" s="59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</row>
    <row r="554" ht="18.75" customHeight="1">
      <c r="A554" s="28"/>
      <c r="B554" s="29"/>
      <c r="C554" s="30"/>
      <c r="D554" s="28"/>
      <c r="E554" s="72">
        <f>N564</f>
        <v>135984</v>
      </c>
      <c r="F554" s="98" t="s">
        <v>108</v>
      </c>
      <c r="G554" s="2"/>
      <c r="H554" s="3"/>
      <c r="I554" s="43"/>
      <c r="J554" s="44"/>
      <c r="K554" s="64">
        <f>SUM(K546:K553)</f>
        <v>53200</v>
      </c>
      <c r="L554" s="65" t="s">
        <v>33</v>
      </c>
      <c r="M554" s="64">
        <f>SUM(M546:M553)</f>
        <v>53200</v>
      </c>
      <c r="N554" s="26">
        <f>E554+K554-M554</f>
        <v>135984</v>
      </c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</row>
    <row r="555" ht="33.0" customHeight="1">
      <c r="A555" s="59"/>
      <c r="B555" s="60"/>
      <c r="C555" s="61"/>
      <c r="D555" s="59"/>
      <c r="E555" s="63" t="s">
        <v>109</v>
      </c>
      <c r="F555" s="70" t="s">
        <v>232</v>
      </c>
      <c r="G555" s="2"/>
      <c r="H555" s="2"/>
      <c r="I555" s="2"/>
      <c r="J555" s="2"/>
      <c r="K555" s="2"/>
      <c r="L555" s="2"/>
      <c r="M555" s="2"/>
      <c r="N555" s="3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</row>
    <row r="556" ht="18.75" customHeight="1">
      <c r="A556" s="13">
        <v>1181.0</v>
      </c>
      <c r="B556" s="14">
        <v>45759.0</v>
      </c>
      <c r="C556" s="15"/>
      <c r="D556" s="16" t="s">
        <v>171</v>
      </c>
      <c r="E556" s="71" t="s">
        <v>15</v>
      </c>
      <c r="F556" s="40" t="s">
        <v>35</v>
      </c>
      <c r="G556" s="51">
        <v>200.0</v>
      </c>
      <c r="H556" s="66">
        <v>73.0</v>
      </c>
      <c r="I556" s="48"/>
      <c r="J556" s="38"/>
      <c r="K556" s="39">
        <f t="shared" ref="K556:K563" si="48">G556*H556</f>
        <v>14600</v>
      </c>
      <c r="L556" s="51" t="s">
        <v>36</v>
      </c>
      <c r="M556" s="39">
        <v>0.0</v>
      </c>
      <c r="N556" s="26">
        <f>K564-M564</f>
        <v>1591</v>
      </c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</row>
    <row r="557" ht="18.75" customHeight="1">
      <c r="A557" s="28"/>
      <c r="B557" s="29"/>
      <c r="C557" s="30"/>
      <c r="D557" s="28"/>
      <c r="E557" s="28"/>
      <c r="F557" s="67" t="s">
        <v>37</v>
      </c>
      <c r="G557" s="41">
        <v>150.0</v>
      </c>
      <c r="H557" s="42">
        <v>47.0</v>
      </c>
      <c r="I557" s="43"/>
      <c r="J557" s="44"/>
      <c r="K557" s="45">
        <f t="shared" si="48"/>
        <v>7050</v>
      </c>
      <c r="L557" s="41" t="s">
        <v>38</v>
      </c>
      <c r="M557" s="45">
        <v>200.0</v>
      </c>
      <c r="N557" s="35" t="s">
        <v>20</v>
      </c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</row>
    <row r="558" ht="18.75" customHeight="1">
      <c r="A558" s="28"/>
      <c r="B558" s="29"/>
      <c r="C558" s="30"/>
      <c r="D558" s="28"/>
      <c r="E558" s="28"/>
      <c r="F558" s="68" t="s">
        <v>39</v>
      </c>
      <c r="G558" s="51">
        <v>150.0</v>
      </c>
      <c r="H558" s="42"/>
      <c r="I558" s="48"/>
      <c r="J558" s="38"/>
      <c r="K558" s="39">
        <f t="shared" si="48"/>
        <v>0</v>
      </c>
      <c r="L558" s="58" t="s">
        <v>40</v>
      </c>
      <c r="M558" s="25">
        <v>400.0</v>
      </c>
      <c r="N558" s="28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</row>
    <row r="559" ht="18.75" customHeight="1">
      <c r="A559" s="28"/>
      <c r="B559" s="29"/>
      <c r="C559" s="30"/>
      <c r="D559" s="28"/>
      <c r="E559" s="28"/>
      <c r="F559" s="40" t="s">
        <v>41</v>
      </c>
      <c r="G559" s="41">
        <v>100.0</v>
      </c>
      <c r="H559" s="42"/>
      <c r="I559" s="43"/>
      <c r="J559" s="44"/>
      <c r="K559" s="45">
        <f t="shared" si="48"/>
        <v>0</v>
      </c>
      <c r="L559" s="65" t="s">
        <v>42</v>
      </c>
      <c r="M559" s="34">
        <v>3500.0</v>
      </c>
      <c r="N559" s="28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</row>
    <row r="560" ht="18.75" customHeight="1">
      <c r="A560" s="28"/>
      <c r="B560" s="29"/>
      <c r="C560" s="30"/>
      <c r="D560" s="28"/>
      <c r="E560" s="28"/>
      <c r="F560" s="47" t="s">
        <v>43</v>
      </c>
      <c r="G560" s="41">
        <v>200.0</v>
      </c>
      <c r="H560" s="43"/>
      <c r="I560" s="48"/>
      <c r="J560" s="38"/>
      <c r="K560" s="39">
        <f t="shared" si="48"/>
        <v>0</v>
      </c>
      <c r="L560" s="58" t="s">
        <v>44</v>
      </c>
      <c r="M560" s="25">
        <f>8090</f>
        <v>8090</v>
      </c>
      <c r="N560" s="28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</row>
    <row r="561" ht="18.75" customHeight="1">
      <c r="A561" s="28"/>
      <c r="B561" s="29"/>
      <c r="C561" s="30"/>
      <c r="D561" s="28"/>
      <c r="E561" s="28"/>
      <c r="F561" s="47" t="s">
        <v>45</v>
      </c>
      <c r="G561" s="51">
        <v>150.0</v>
      </c>
      <c r="H561" s="43"/>
      <c r="I561" s="48"/>
      <c r="J561" s="38"/>
      <c r="K561" s="39">
        <f t="shared" si="48"/>
        <v>0</v>
      </c>
      <c r="L561" s="65" t="s">
        <v>46</v>
      </c>
      <c r="M561" s="45">
        <f>1420+560</f>
        <v>1980</v>
      </c>
      <c r="N561" s="28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</row>
    <row r="562" ht="18.75" customHeight="1">
      <c r="A562" s="28"/>
      <c r="B562" s="29"/>
      <c r="C562" s="30"/>
      <c r="D562" s="28"/>
      <c r="E562" s="28"/>
      <c r="F562" s="63" t="s">
        <v>47</v>
      </c>
      <c r="G562" s="38"/>
      <c r="H562" s="43"/>
      <c r="I562" s="48"/>
      <c r="J562" s="38"/>
      <c r="K562" s="39">
        <f t="shared" si="48"/>
        <v>0</v>
      </c>
      <c r="L562" s="58" t="s">
        <v>48</v>
      </c>
      <c r="M562" s="45">
        <f>5889</f>
        <v>5889</v>
      </c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</row>
    <row r="563" ht="18.75" customHeight="1">
      <c r="A563" s="28"/>
      <c r="B563" s="29"/>
      <c r="C563" s="30"/>
      <c r="D563" s="28"/>
      <c r="E563" s="59"/>
      <c r="F563" s="63" t="s">
        <v>49</v>
      </c>
      <c r="G563" s="38"/>
      <c r="H563" s="48"/>
      <c r="I563" s="43"/>
      <c r="J563" s="38"/>
      <c r="K563" s="39">
        <f t="shared" si="48"/>
        <v>0</v>
      </c>
      <c r="L563" s="58" t="s">
        <v>78</v>
      </c>
      <c r="M563" s="38"/>
      <c r="N563" s="59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</row>
    <row r="564" ht="18.75" customHeight="1">
      <c r="A564" s="28"/>
      <c r="B564" s="29"/>
      <c r="C564" s="30"/>
      <c r="D564" s="28"/>
      <c r="E564" s="72">
        <f>N574</f>
        <v>134393</v>
      </c>
      <c r="F564" s="98" t="s">
        <v>108</v>
      </c>
      <c r="G564" s="2"/>
      <c r="H564" s="3"/>
      <c r="I564" s="43"/>
      <c r="J564" s="44"/>
      <c r="K564" s="64">
        <f>SUM(K556:K563)</f>
        <v>21650</v>
      </c>
      <c r="L564" s="65" t="s">
        <v>33</v>
      </c>
      <c r="M564" s="64">
        <f>SUM(M556:M563)</f>
        <v>20059</v>
      </c>
      <c r="N564" s="26">
        <f>E564+K564-M564</f>
        <v>135984</v>
      </c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</row>
    <row r="565" ht="71.25" customHeight="1">
      <c r="A565" s="59"/>
      <c r="B565" s="60"/>
      <c r="C565" s="61"/>
      <c r="D565" s="59"/>
      <c r="E565" s="63" t="s">
        <v>109</v>
      </c>
      <c r="F565" s="70" t="s">
        <v>233</v>
      </c>
      <c r="G565" s="2"/>
      <c r="H565" s="2"/>
      <c r="I565" s="2"/>
      <c r="J565" s="2"/>
      <c r="K565" s="2"/>
      <c r="L565" s="2"/>
      <c r="M565" s="2"/>
      <c r="N565" s="3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</row>
    <row r="566" ht="18.75" customHeight="1">
      <c r="A566" s="13">
        <v>1180.0</v>
      </c>
      <c r="B566" s="14">
        <v>45752.0</v>
      </c>
      <c r="C566" s="15"/>
      <c r="D566" s="16" t="s">
        <v>56</v>
      </c>
      <c r="E566" s="71" t="s">
        <v>15</v>
      </c>
      <c r="F566" s="40" t="s">
        <v>35</v>
      </c>
      <c r="G566" s="51">
        <v>200.0</v>
      </c>
      <c r="H566" s="66">
        <v>84.0</v>
      </c>
      <c r="I566" s="48"/>
      <c r="J566" s="38"/>
      <c r="K566" s="39">
        <f t="shared" ref="K566:K573" si="49">G566*H566</f>
        <v>16800</v>
      </c>
      <c r="L566" s="51" t="s">
        <v>36</v>
      </c>
      <c r="M566" s="39">
        <v>0.0</v>
      </c>
      <c r="N566" s="26">
        <f>K574-M574</f>
        <v>8325</v>
      </c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</row>
    <row r="567" ht="18.75" customHeight="1">
      <c r="A567" s="28"/>
      <c r="B567" s="29"/>
      <c r="C567" s="30"/>
      <c r="D567" s="28"/>
      <c r="E567" s="28"/>
      <c r="F567" s="67" t="s">
        <v>37</v>
      </c>
      <c r="G567" s="41">
        <v>150.0</v>
      </c>
      <c r="H567" s="42">
        <v>44.0</v>
      </c>
      <c r="I567" s="43"/>
      <c r="J567" s="44"/>
      <c r="K567" s="45">
        <f t="shared" si="49"/>
        <v>6600</v>
      </c>
      <c r="L567" s="41" t="s">
        <v>38</v>
      </c>
      <c r="M567" s="45">
        <v>200.0</v>
      </c>
      <c r="N567" s="35" t="s">
        <v>20</v>
      </c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</row>
    <row r="568" ht="18.75" customHeight="1">
      <c r="A568" s="28"/>
      <c r="B568" s="29"/>
      <c r="C568" s="30"/>
      <c r="D568" s="28"/>
      <c r="E568" s="28"/>
      <c r="F568" s="68" t="s">
        <v>39</v>
      </c>
      <c r="G568" s="51">
        <v>150.0</v>
      </c>
      <c r="H568" s="42"/>
      <c r="I568" s="48"/>
      <c r="J568" s="38"/>
      <c r="K568" s="39">
        <f t="shared" si="49"/>
        <v>0</v>
      </c>
      <c r="L568" s="58" t="s">
        <v>40</v>
      </c>
      <c r="M568" s="25">
        <v>300.0</v>
      </c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</row>
    <row r="569" ht="18.75" customHeight="1">
      <c r="A569" s="28"/>
      <c r="B569" s="29"/>
      <c r="C569" s="30"/>
      <c r="D569" s="28"/>
      <c r="E569" s="28"/>
      <c r="F569" s="40" t="s">
        <v>41</v>
      </c>
      <c r="G569" s="41">
        <v>100.0</v>
      </c>
      <c r="H569" s="42">
        <v>1.0</v>
      </c>
      <c r="I569" s="43"/>
      <c r="J569" s="44"/>
      <c r="K569" s="45">
        <f t="shared" si="49"/>
        <v>100</v>
      </c>
      <c r="L569" s="65" t="s">
        <v>42</v>
      </c>
      <c r="M569" s="34">
        <v>3500.0</v>
      </c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</row>
    <row r="570" ht="18.75" customHeight="1">
      <c r="A570" s="28"/>
      <c r="B570" s="29"/>
      <c r="C570" s="30"/>
      <c r="D570" s="28"/>
      <c r="E570" s="28"/>
      <c r="F570" s="47" t="s">
        <v>43</v>
      </c>
      <c r="G570" s="41">
        <v>200.0</v>
      </c>
      <c r="H570" s="43"/>
      <c r="I570" s="48"/>
      <c r="J570" s="38"/>
      <c r="K570" s="39">
        <f t="shared" si="49"/>
        <v>0</v>
      </c>
      <c r="L570" s="58" t="s">
        <v>44</v>
      </c>
      <c r="M570" s="25">
        <f>6990</f>
        <v>6990</v>
      </c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</row>
    <row r="571" ht="18.75" customHeight="1">
      <c r="A571" s="28"/>
      <c r="B571" s="29"/>
      <c r="C571" s="30"/>
      <c r="D571" s="28"/>
      <c r="E571" s="28"/>
      <c r="F571" s="47" t="s">
        <v>45</v>
      </c>
      <c r="G571" s="51">
        <v>150.0</v>
      </c>
      <c r="H571" s="43"/>
      <c r="I571" s="48"/>
      <c r="J571" s="38"/>
      <c r="K571" s="39">
        <f t="shared" si="49"/>
        <v>0</v>
      </c>
      <c r="L571" s="65" t="s">
        <v>46</v>
      </c>
      <c r="M571" s="45">
        <f>1420+440+125</f>
        <v>1985</v>
      </c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</row>
    <row r="572" ht="18.75" customHeight="1">
      <c r="A572" s="28"/>
      <c r="B572" s="29"/>
      <c r="C572" s="30"/>
      <c r="D572" s="28"/>
      <c r="E572" s="28"/>
      <c r="F572" s="63" t="s">
        <v>47</v>
      </c>
      <c r="G572" s="38"/>
      <c r="H572" s="43"/>
      <c r="I572" s="48"/>
      <c r="J572" s="38"/>
      <c r="K572" s="39">
        <f t="shared" si="49"/>
        <v>0</v>
      </c>
      <c r="L572" s="58" t="s">
        <v>48</v>
      </c>
      <c r="M572" s="45">
        <f>2200</f>
        <v>2200</v>
      </c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</row>
    <row r="573" ht="18.75" customHeight="1">
      <c r="A573" s="28"/>
      <c r="B573" s="29"/>
      <c r="C573" s="30"/>
      <c r="D573" s="28"/>
      <c r="E573" s="59"/>
      <c r="F573" s="63" t="s">
        <v>49</v>
      </c>
      <c r="G573" s="38"/>
      <c r="H573" s="48"/>
      <c r="I573" s="43"/>
      <c r="J573" s="38"/>
      <c r="K573" s="39">
        <f t="shared" si="49"/>
        <v>0</v>
      </c>
      <c r="L573" s="58" t="s">
        <v>78</v>
      </c>
      <c r="M573" s="38"/>
      <c r="N573" s="59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</row>
    <row r="574" ht="18.75" customHeight="1">
      <c r="A574" s="28"/>
      <c r="B574" s="29"/>
      <c r="C574" s="30"/>
      <c r="D574" s="28"/>
      <c r="E574" s="72">
        <f>N584</f>
        <v>126068</v>
      </c>
      <c r="F574" s="98" t="s">
        <v>108</v>
      </c>
      <c r="G574" s="2"/>
      <c r="H574" s="3"/>
      <c r="I574" s="43"/>
      <c r="J574" s="44"/>
      <c r="K574" s="64">
        <f>SUM(K566:K573)</f>
        <v>23500</v>
      </c>
      <c r="L574" s="65" t="s">
        <v>33</v>
      </c>
      <c r="M574" s="64">
        <f>SUM(M566:M573)</f>
        <v>15175</v>
      </c>
      <c r="N574" s="26">
        <f>E574+K574-M574</f>
        <v>134393</v>
      </c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</row>
    <row r="575" ht="75.0" customHeight="1">
      <c r="A575" s="59"/>
      <c r="B575" s="60"/>
      <c r="C575" s="61"/>
      <c r="D575" s="59"/>
      <c r="E575" s="63" t="s">
        <v>109</v>
      </c>
      <c r="F575" s="70" t="s">
        <v>234</v>
      </c>
      <c r="G575" s="2"/>
      <c r="H575" s="2"/>
      <c r="I575" s="2"/>
      <c r="J575" s="2"/>
      <c r="K575" s="2"/>
      <c r="L575" s="2"/>
      <c r="M575" s="2"/>
      <c r="N575" s="3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</row>
    <row r="576" ht="18.75" customHeight="1">
      <c r="A576" s="13">
        <v>1179.0</v>
      </c>
      <c r="B576" s="14">
        <v>45745.0</v>
      </c>
      <c r="C576" s="15"/>
      <c r="D576" s="16" t="s">
        <v>235</v>
      </c>
      <c r="E576" s="71" t="s">
        <v>15</v>
      </c>
      <c r="F576" s="40" t="s">
        <v>35</v>
      </c>
      <c r="G576" s="51">
        <v>200.0</v>
      </c>
      <c r="H576" s="66">
        <v>81.0</v>
      </c>
      <c r="I576" s="48"/>
      <c r="J576" s="38"/>
      <c r="K576" s="39">
        <f t="shared" ref="K576:K583" si="50">G576*H576</f>
        <v>16200</v>
      </c>
      <c r="L576" s="51" t="s">
        <v>36</v>
      </c>
      <c r="M576" s="39">
        <v>0.0</v>
      </c>
      <c r="N576" s="26">
        <f>K584-M584</f>
        <v>9245</v>
      </c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</row>
    <row r="577" ht="18.75" customHeight="1">
      <c r="A577" s="28"/>
      <c r="B577" s="29"/>
      <c r="C577" s="30"/>
      <c r="D577" s="28"/>
      <c r="E577" s="28"/>
      <c r="F577" s="67" t="s">
        <v>37</v>
      </c>
      <c r="G577" s="41">
        <v>150.0</v>
      </c>
      <c r="H577" s="42">
        <v>40.0</v>
      </c>
      <c r="I577" s="43"/>
      <c r="J577" s="44"/>
      <c r="K577" s="45">
        <f t="shared" si="50"/>
        <v>6000</v>
      </c>
      <c r="L577" s="41" t="s">
        <v>38</v>
      </c>
      <c r="M577" s="45">
        <v>200.0</v>
      </c>
      <c r="N577" s="35" t="s">
        <v>20</v>
      </c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</row>
    <row r="578" ht="18.75" customHeight="1">
      <c r="A578" s="28"/>
      <c r="B578" s="29"/>
      <c r="C578" s="30"/>
      <c r="D578" s="28"/>
      <c r="E578" s="28"/>
      <c r="F578" s="68" t="s">
        <v>39</v>
      </c>
      <c r="G578" s="51">
        <v>150.0</v>
      </c>
      <c r="H578" s="42">
        <v>1.0</v>
      </c>
      <c r="I578" s="48"/>
      <c r="J578" s="38"/>
      <c r="K578" s="39">
        <f t="shared" si="50"/>
        <v>150</v>
      </c>
      <c r="L578" s="58" t="s">
        <v>40</v>
      </c>
      <c r="M578" s="25">
        <v>400.0</v>
      </c>
      <c r="N578" s="28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</row>
    <row r="579" ht="18.75" customHeight="1">
      <c r="A579" s="28"/>
      <c r="B579" s="29"/>
      <c r="C579" s="30"/>
      <c r="D579" s="28"/>
      <c r="E579" s="28"/>
      <c r="F579" s="40" t="s">
        <v>41</v>
      </c>
      <c r="G579" s="41">
        <v>100.0</v>
      </c>
      <c r="H579" s="42"/>
      <c r="I579" s="43"/>
      <c r="J579" s="44"/>
      <c r="K579" s="45">
        <f t="shared" si="50"/>
        <v>0</v>
      </c>
      <c r="L579" s="65" t="s">
        <v>42</v>
      </c>
      <c r="M579" s="34">
        <v>4000.0</v>
      </c>
      <c r="N579" s="28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</row>
    <row r="580" ht="18.75" customHeight="1">
      <c r="A580" s="28"/>
      <c r="B580" s="29"/>
      <c r="C580" s="30"/>
      <c r="D580" s="28"/>
      <c r="E580" s="28"/>
      <c r="F580" s="47" t="s">
        <v>43</v>
      </c>
      <c r="G580" s="41">
        <v>200.0</v>
      </c>
      <c r="H580" s="43"/>
      <c r="I580" s="48"/>
      <c r="J580" s="38"/>
      <c r="K580" s="39">
        <f t="shared" si="50"/>
        <v>0</v>
      </c>
      <c r="L580" s="58" t="s">
        <v>44</v>
      </c>
      <c r="M580" s="25">
        <f>5970</f>
        <v>5970</v>
      </c>
      <c r="N580" s="28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</row>
    <row r="581" ht="18.75" customHeight="1">
      <c r="A581" s="28"/>
      <c r="B581" s="29"/>
      <c r="C581" s="30"/>
      <c r="D581" s="28"/>
      <c r="E581" s="28"/>
      <c r="F581" s="47" t="s">
        <v>45</v>
      </c>
      <c r="G581" s="51">
        <v>150.0</v>
      </c>
      <c r="H581" s="43"/>
      <c r="I581" s="48"/>
      <c r="J581" s="38"/>
      <c r="K581" s="39">
        <f t="shared" si="50"/>
        <v>0</v>
      </c>
      <c r="L581" s="65" t="s">
        <v>46</v>
      </c>
      <c r="M581" s="45">
        <f>1610+925</f>
        <v>2535</v>
      </c>
      <c r="N581" s="28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</row>
    <row r="582" ht="18.75" customHeight="1">
      <c r="A582" s="28"/>
      <c r="B582" s="29"/>
      <c r="C582" s="30"/>
      <c r="D582" s="28"/>
      <c r="E582" s="28"/>
      <c r="F582" s="63" t="s">
        <v>47</v>
      </c>
      <c r="G582" s="38"/>
      <c r="H582" s="43"/>
      <c r="I582" s="48"/>
      <c r="J582" s="38"/>
      <c r="K582" s="39">
        <f t="shared" si="50"/>
        <v>0</v>
      </c>
      <c r="L582" s="58" t="s">
        <v>48</v>
      </c>
      <c r="M582" s="45"/>
      <c r="N582" s="28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</row>
    <row r="583" ht="18.75" customHeight="1">
      <c r="A583" s="28"/>
      <c r="B583" s="29"/>
      <c r="C583" s="30"/>
      <c r="D583" s="28"/>
      <c r="E583" s="59"/>
      <c r="F583" s="63" t="s">
        <v>49</v>
      </c>
      <c r="G583" s="38"/>
      <c r="H583" s="48"/>
      <c r="I583" s="43"/>
      <c r="J583" s="38"/>
      <c r="K583" s="39">
        <f t="shared" si="50"/>
        <v>0</v>
      </c>
      <c r="L583" s="58" t="s">
        <v>78</v>
      </c>
      <c r="M583" s="38"/>
      <c r="N583" s="59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</row>
    <row r="584" ht="18.75" customHeight="1">
      <c r="A584" s="28"/>
      <c r="B584" s="29"/>
      <c r="C584" s="30"/>
      <c r="D584" s="28"/>
      <c r="E584" s="72">
        <f>N594</f>
        <v>116823</v>
      </c>
      <c r="F584" s="98" t="s">
        <v>108</v>
      </c>
      <c r="G584" s="2"/>
      <c r="H584" s="3"/>
      <c r="I584" s="43"/>
      <c r="J584" s="44"/>
      <c r="K584" s="64">
        <f>SUM(K576:K583)</f>
        <v>22350</v>
      </c>
      <c r="L584" s="65" t="s">
        <v>33</v>
      </c>
      <c r="M584" s="64">
        <f>SUM(M576:M583)</f>
        <v>13105</v>
      </c>
      <c r="N584" s="26">
        <f>E584+K584-M584</f>
        <v>126068</v>
      </c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</row>
    <row r="585" ht="51.0" customHeight="1">
      <c r="A585" s="59"/>
      <c r="B585" s="60"/>
      <c r="C585" s="61"/>
      <c r="D585" s="59"/>
      <c r="E585" s="63" t="s">
        <v>109</v>
      </c>
      <c r="F585" s="70" t="s">
        <v>236</v>
      </c>
      <c r="G585" s="2"/>
      <c r="H585" s="2"/>
      <c r="I585" s="2"/>
      <c r="J585" s="2"/>
      <c r="K585" s="2"/>
      <c r="L585" s="2"/>
      <c r="M585" s="2"/>
      <c r="N585" s="3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</row>
    <row r="586" ht="18.75" customHeight="1">
      <c r="A586" s="13">
        <v>1178.0</v>
      </c>
      <c r="B586" s="14">
        <v>45738.0</v>
      </c>
      <c r="C586" s="15"/>
      <c r="D586" s="16" t="s">
        <v>52</v>
      </c>
      <c r="E586" s="71" t="s">
        <v>15</v>
      </c>
      <c r="F586" s="40" t="s">
        <v>35</v>
      </c>
      <c r="G586" s="51">
        <v>200.0</v>
      </c>
      <c r="H586" s="66">
        <v>93.0</v>
      </c>
      <c r="I586" s="48"/>
      <c r="J586" s="38"/>
      <c r="K586" s="39">
        <f t="shared" ref="K586:K593" si="51">G586*H586</f>
        <v>18600</v>
      </c>
      <c r="L586" s="51" t="s">
        <v>36</v>
      </c>
      <c r="M586" s="39">
        <v>0.0</v>
      </c>
      <c r="N586" s="26">
        <f>K594-M594</f>
        <v>10240</v>
      </c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</row>
    <row r="587" ht="18.75" customHeight="1">
      <c r="A587" s="28"/>
      <c r="B587" s="29"/>
      <c r="C587" s="30"/>
      <c r="D587" s="28"/>
      <c r="E587" s="28"/>
      <c r="F587" s="67" t="s">
        <v>37</v>
      </c>
      <c r="G587" s="41">
        <v>150.0</v>
      </c>
      <c r="H587" s="42">
        <v>48.0</v>
      </c>
      <c r="I587" s="43"/>
      <c r="J587" s="44"/>
      <c r="K587" s="45">
        <f t="shared" si="51"/>
        <v>7200</v>
      </c>
      <c r="L587" s="41" t="s">
        <v>38</v>
      </c>
      <c r="M587" s="45">
        <v>200.0</v>
      </c>
      <c r="N587" s="35" t="s">
        <v>20</v>
      </c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</row>
    <row r="588" ht="18.75" customHeight="1">
      <c r="A588" s="28"/>
      <c r="B588" s="29"/>
      <c r="C588" s="30"/>
      <c r="D588" s="28"/>
      <c r="E588" s="28"/>
      <c r="F588" s="68" t="s">
        <v>39</v>
      </c>
      <c r="G588" s="51">
        <v>150.0</v>
      </c>
      <c r="H588" s="42">
        <v>2.0</v>
      </c>
      <c r="I588" s="48"/>
      <c r="J588" s="38"/>
      <c r="K588" s="39">
        <f t="shared" si="51"/>
        <v>300</v>
      </c>
      <c r="L588" s="58" t="s">
        <v>40</v>
      </c>
      <c r="M588" s="25">
        <v>350.0</v>
      </c>
      <c r="N588" s="28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</row>
    <row r="589" ht="18.75" customHeight="1">
      <c r="A589" s="28"/>
      <c r="B589" s="29"/>
      <c r="C589" s="30"/>
      <c r="D589" s="28"/>
      <c r="E589" s="28"/>
      <c r="F589" s="40" t="s">
        <v>41</v>
      </c>
      <c r="G589" s="41">
        <v>100.0</v>
      </c>
      <c r="H589" s="42"/>
      <c r="I589" s="43"/>
      <c r="J589" s="44"/>
      <c r="K589" s="45">
        <f t="shared" si="51"/>
        <v>0</v>
      </c>
      <c r="L589" s="65" t="s">
        <v>42</v>
      </c>
      <c r="M589" s="34">
        <v>4000.0</v>
      </c>
      <c r="N589" s="28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</row>
    <row r="590" ht="18.75" customHeight="1">
      <c r="A590" s="28"/>
      <c r="B590" s="29"/>
      <c r="C590" s="30"/>
      <c r="D590" s="28"/>
      <c r="E590" s="28"/>
      <c r="F590" s="47" t="s">
        <v>43</v>
      </c>
      <c r="G590" s="41">
        <v>200.0</v>
      </c>
      <c r="H590" s="43"/>
      <c r="I590" s="48"/>
      <c r="J590" s="38"/>
      <c r="K590" s="39">
        <f t="shared" si="51"/>
        <v>0</v>
      </c>
      <c r="L590" s="58" t="s">
        <v>44</v>
      </c>
      <c r="M590" s="25">
        <f>7080</f>
        <v>7080</v>
      </c>
      <c r="N590" s="28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</row>
    <row r="591" ht="18.75" customHeight="1">
      <c r="A591" s="28"/>
      <c r="B591" s="29"/>
      <c r="C591" s="30"/>
      <c r="D591" s="28"/>
      <c r="E591" s="28"/>
      <c r="F591" s="47" t="s">
        <v>45</v>
      </c>
      <c r="G591" s="51">
        <v>150.0</v>
      </c>
      <c r="H591" s="43"/>
      <c r="I591" s="48"/>
      <c r="J591" s="38"/>
      <c r="K591" s="39">
        <f t="shared" si="51"/>
        <v>0</v>
      </c>
      <c r="L591" s="65" t="s">
        <v>46</v>
      </c>
      <c r="M591" s="45">
        <f>1510+1280</f>
        <v>2790</v>
      </c>
      <c r="N591" s="28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</row>
    <row r="592" ht="18.75" customHeight="1">
      <c r="A592" s="28"/>
      <c r="B592" s="29"/>
      <c r="C592" s="30"/>
      <c r="D592" s="28"/>
      <c r="E592" s="28"/>
      <c r="F592" s="63" t="s">
        <v>47</v>
      </c>
      <c r="G592" s="38"/>
      <c r="H592" s="43"/>
      <c r="I592" s="48"/>
      <c r="J592" s="38"/>
      <c r="K592" s="39">
        <f t="shared" si="51"/>
        <v>0</v>
      </c>
      <c r="L592" s="58" t="s">
        <v>48</v>
      </c>
      <c r="M592" s="45">
        <f>1200+240</f>
        <v>1440</v>
      </c>
      <c r="N592" s="28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</row>
    <row r="593" ht="18.75" customHeight="1">
      <c r="A593" s="28"/>
      <c r="B593" s="29"/>
      <c r="C593" s="30"/>
      <c r="D593" s="28"/>
      <c r="E593" s="59"/>
      <c r="F593" s="63" t="s">
        <v>49</v>
      </c>
      <c r="G593" s="38"/>
      <c r="H593" s="48"/>
      <c r="I593" s="43"/>
      <c r="J593" s="38"/>
      <c r="K593" s="39">
        <f t="shared" si="51"/>
        <v>0</v>
      </c>
      <c r="L593" s="58" t="s">
        <v>78</v>
      </c>
      <c r="M593" s="38"/>
      <c r="N593" s="59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</row>
    <row r="594" ht="18.75" customHeight="1">
      <c r="A594" s="28"/>
      <c r="B594" s="29"/>
      <c r="C594" s="30"/>
      <c r="D594" s="28"/>
      <c r="E594" s="72">
        <f>N604</f>
        <v>106583</v>
      </c>
      <c r="F594" s="98" t="s">
        <v>108</v>
      </c>
      <c r="G594" s="2"/>
      <c r="H594" s="3"/>
      <c r="I594" s="43"/>
      <c r="J594" s="44"/>
      <c r="K594" s="64">
        <f>SUM(K586:K593)</f>
        <v>26100</v>
      </c>
      <c r="L594" s="65" t="s">
        <v>33</v>
      </c>
      <c r="M594" s="64">
        <f>SUM(M586:M593)</f>
        <v>15860</v>
      </c>
      <c r="N594" s="26">
        <f>E594+K594-M594</f>
        <v>116823</v>
      </c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</row>
    <row r="595" ht="77.25" customHeight="1">
      <c r="A595" s="59"/>
      <c r="B595" s="60"/>
      <c r="C595" s="61"/>
      <c r="D595" s="59"/>
      <c r="E595" s="63" t="s">
        <v>109</v>
      </c>
      <c r="F595" s="70" t="s">
        <v>237</v>
      </c>
      <c r="G595" s="2"/>
      <c r="H595" s="2"/>
      <c r="I595" s="2"/>
      <c r="J595" s="2"/>
      <c r="K595" s="2"/>
      <c r="L595" s="2"/>
      <c r="M595" s="2"/>
      <c r="N595" s="3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</row>
    <row r="596" ht="18.75" customHeight="1">
      <c r="A596" s="13">
        <v>1177.0</v>
      </c>
      <c r="B596" s="14">
        <v>45731.0</v>
      </c>
      <c r="C596" s="15"/>
      <c r="D596" s="16" t="s">
        <v>238</v>
      </c>
      <c r="E596" s="71" t="s">
        <v>15</v>
      </c>
      <c r="F596" s="40" t="s">
        <v>35</v>
      </c>
      <c r="G596" s="51">
        <v>200.0</v>
      </c>
      <c r="H596" s="66">
        <v>46.0</v>
      </c>
      <c r="I596" s="48"/>
      <c r="J596" s="38"/>
      <c r="K596" s="39">
        <f t="shared" ref="K596:K603" si="52">G596*H596</f>
        <v>9200</v>
      </c>
      <c r="L596" s="51" t="s">
        <v>36</v>
      </c>
      <c r="M596" s="39">
        <v>0.0</v>
      </c>
      <c r="N596" s="26">
        <f>K604-M604</f>
        <v>2465</v>
      </c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</row>
    <row r="597" ht="18.75" customHeight="1">
      <c r="A597" s="28"/>
      <c r="B597" s="29"/>
      <c r="C597" s="30"/>
      <c r="D597" s="28"/>
      <c r="E597" s="28"/>
      <c r="F597" s="67" t="s">
        <v>37</v>
      </c>
      <c r="G597" s="41">
        <v>150.0</v>
      </c>
      <c r="H597" s="42">
        <v>21.0</v>
      </c>
      <c r="I597" s="43"/>
      <c r="J597" s="44"/>
      <c r="K597" s="45">
        <f t="shared" si="52"/>
        <v>3150</v>
      </c>
      <c r="L597" s="41" t="s">
        <v>38</v>
      </c>
      <c r="M597" s="45">
        <v>200.0</v>
      </c>
      <c r="N597" s="35" t="s">
        <v>20</v>
      </c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</row>
    <row r="598" ht="18.75" customHeight="1">
      <c r="A598" s="28"/>
      <c r="B598" s="29"/>
      <c r="C598" s="30"/>
      <c r="D598" s="28"/>
      <c r="E598" s="28"/>
      <c r="F598" s="68" t="s">
        <v>39</v>
      </c>
      <c r="G598" s="51">
        <v>150.0</v>
      </c>
      <c r="H598" s="42">
        <v>2.0</v>
      </c>
      <c r="I598" s="48"/>
      <c r="J598" s="38"/>
      <c r="K598" s="39">
        <f t="shared" si="52"/>
        <v>300</v>
      </c>
      <c r="L598" s="58" t="s">
        <v>40</v>
      </c>
      <c r="M598" s="25">
        <v>350.0</v>
      </c>
      <c r="N598" s="28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</row>
    <row r="599" ht="18.75" customHeight="1">
      <c r="A599" s="28"/>
      <c r="B599" s="29"/>
      <c r="C599" s="30"/>
      <c r="D599" s="28"/>
      <c r="E599" s="28"/>
      <c r="F599" s="40" t="s">
        <v>41</v>
      </c>
      <c r="G599" s="41">
        <v>100.0</v>
      </c>
      <c r="H599" s="42"/>
      <c r="I599" s="43"/>
      <c r="J599" s="44"/>
      <c r="K599" s="45">
        <f t="shared" si="52"/>
        <v>0</v>
      </c>
      <c r="L599" s="65" t="s">
        <v>42</v>
      </c>
      <c r="M599" s="34">
        <v>3500.0</v>
      </c>
      <c r="N599" s="28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</row>
    <row r="600" ht="18.75" customHeight="1">
      <c r="A600" s="28"/>
      <c r="B600" s="29"/>
      <c r="C600" s="30"/>
      <c r="D600" s="28"/>
      <c r="E600" s="28"/>
      <c r="F600" s="47" t="s">
        <v>43</v>
      </c>
      <c r="G600" s="41">
        <v>200.0</v>
      </c>
      <c r="H600" s="43"/>
      <c r="I600" s="48"/>
      <c r="J600" s="38"/>
      <c r="K600" s="39">
        <f t="shared" si="52"/>
        <v>0</v>
      </c>
      <c r="L600" s="58" t="s">
        <v>44</v>
      </c>
      <c r="M600" s="25">
        <f>3880</f>
        <v>3880</v>
      </c>
      <c r="N600" s="28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</row>
    <row r="601" ht="18.75" customHeight="1">
      <c r="A601" s="28"/>
      <c r="B601" s="29"/>
      <c r="C601" s="30"/>
      <c r="D601" s="28"/>
      <c r="E601" s="28"/>
      <c r="F601" s="47" t="s">
        <v>45</v>
      </c>
      <c r="G601" s="51">
        <v>150.0</v>
      </c>
      <c r="H601" s="43"/>
      <c r="I601" s="48"/>
      <c r="J601" s="38"/>
      <c r="K601" s="39">
        <f t="shared" si="52"/>
        <v>0</v>
      </c>
      <c r="L601" s="65" t="s">
        <v>46</v>
      </c>
      <c r="M601" s="45">
        <f>1330+925</f>
        <v>2255</v>
      </c>
      <c r="N601" s="28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</row>
    <row r="602" ht="18.75" customHeight="1">
      <c r="A602" s="28"/>
      <c r="B602" s="29"/>
      <c r="C602" s="30"/>
      <c r="D602" s="28"/>
      <c r="E602" s="28"/>
      <c r="F602" s="63" t="s">
        <v>47</v>
      </c>
      <c r="G602" s="38"/>
      <c r="H602" s="43"/>
      <c r="I602" s="48"/>
      <c r="J602" s="38"/>
      <c r="K602" s="39">
        <f t="shared" si="52"/>
        <v>0</v>
      </c>
      <c r="L602" s="58" t="s">
        <v>48</v>
      </c>
      <c r="M602" s="38"/>
      <c r="N602" s="28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</row>
    <row r="603" ht="18.75" customHeight="1">
      <c r="A603" s="28"/>
      <c r="B603" s="29"/>
      <c r="C603" s="30"/>
      <c r="D603" s="28"/>
      <c r="E603" s="59"/>
      <c r="F603" s="63" t="s">
        <v>49</v>
      </c>
      <c r="G603" s="38"/>
      <c r="H603" s="48"/>
      <c r="I603" s="43"/>
      <c r="J603" s="38"/>
      <c r="K603" s="39">
        <f t="shared" si="52"/>
        <v>0</v>
      </c>
      <c r="L603" s="58" t="s">
        <v>78</v>
      </c>
      <c r="M603" s="38"/>
      <c r="N603" s="59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</row>
    <row r="604" ht="18.75" customHeight="1">
      <c r="A604" s="28"/>
      <c r="B604" s="29"/>
      <c r="C604" s="30"/>
      <c r="D604" s="28"/>
      <c r="E604" s="72">
        <f>N614</f>
        <v>104118</v>
      </c>
      <c r="F604" s="98" t="s">
        <v>108</v>
      </c>
      <c r="G604" s="2"/>
      <c r="H604" s="3"/>
      <c r="I604" s="43"/>
      <c r="J604" s="44"/>
      <c r="K604" s="64">
        <f>SUM(K596:K603)</f>
        <v>12650</v>
      </c>
      <c r="L604" s="65" t="s">
        <v>33</v>
      </c>
      <c r="M604" s="64">
        <f>SUM(M596:M603)</f>
        <v>10185</v>
      </c>
      <c r="N604" s="26">
        <f>E604+K604-M604</f>
        <v>106583</v>
      </c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</row>
    <row r="605" ht="54.0" customHeight="1">
      <c r="A605" s="59"/>
      <c r="B605" s="60"/>
      <c r="C605" s="61"/>
      <c r="D605" s="59"/>
      <c r="E605" s="63" t="s">
        <v>109</v>
      </c>
      <c r="F605" s="70" t="s">
        <v>239</v>
      </c>
      <c r="G605" s="2"/>
      <c r="H605" s="2"/>
      <c r="I605" s="2"/>
      <c r="J605" s="2"/>
      <c r="K605" s="2"/>
      <c r="L605" s="2"/>
      <c r="M605" s="2"/>
      <c r="N605" s="3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</row>
    <row r="606" ht="18.75" customHeight="1">
      <c r="A606" s="13">
        <v>1176.0</v>
      </c>
      <c r="B606" s="14">
        <v>45724.0</v>
      </c>
      <c r="C606" s="15"/>
      <c r="D606" s="16" t="s">
        <v>56</v>
      </c>
      <c r="E606" s="71" t="s">
        <v>15</v>
      </c>
      <c r="F606" s="40" t="s">
        <v>35</v>
      </c>
      <c r="G606" s="51">
        <v>200.0</v>
      </c>
      <c r="H606" s="66">
        <v>83.0</v>
      </c>
      <c r="I606" s="48"/>
      <c r="J606" s="38"/>
      <c r="K606" s="39">
        <f t="shared" ref="K606:K613" si="53">G606*H606</f>
        <v>16600</v>
      </c>
      <c r="L606" s="51" t="s">
        <v>36</v>
      </c>
      <c r="M606" s="39">
        <v>0.0</v>
      </c>
      <c r="N606" s="26">
        <f>K614-M614</f>
        <v>10205</v>
      </c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</row>
    <row r="607" ht="18.75" customHeight="1">
      <c r="A607" s="28"/>
      <c r="B607" s="29"/>
      <c r="C607" s="30"/>
      <c r="D607" s="28"/>
      <c r="E607" s="28"/>
      <c r="F607" s="67" t="s">
        <v>37</v>
      </c>
      <c r="G607" s="41">
        <v>150.0</v>
      </c>
      <c r="H607" s="42">
        <v>38.0</v>
      </c>
      <c r="I607" s="43"/>
      <c r="J607" s="44"/>
      <c r="K607" s="45">
        <f t="shared" si="53"/>
        <v>5700</v>
      </c>
      <c r="L607" s="41" t="s">
        <v>38</v>
      </c>
      <c r="M607" s="45">
        <v>200.0</v>
      </c>
      <c r="N607" s="35" t="s">
        <v>20</v>
      </c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</row>
    <row r="608" ht="18.75" customHeight="1">
      <c r="A608" s="28"/>
      <c r="B608" s="29"/>
      <c r="C608" s="30"/>
      <c r="D608" s="28"/>
      <c r="E608" s="28"/>
      <c r="F608" s="68" t="s">
        <v>39</v>
      </c>
      <c r="G608" s="51">
        <v>150.0</v>
      </c>
      <c r="H608" s="42">
        <v>1.0</v>
      </c>
      <c r="I608" s="48"/>
      <c r="J608" s="38"/>
      <c r="K608" s="39">
        <f t="shared" si="53"/>
        <v>150</v>
      </c>
      <c r="L608" s="58" t="s">
        <v>40</v>
      </c>
      <c r="M608" s="25">
        <v>350.0</v>
      </c>
      <c r="N608" s="28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</row>
    <row r="609" ht="18.75" customHeight="1">
      <c r="A609" s="28"/>
      <c r="B609" s="29"/>
      <c r="C609" s="30"/>
      <c r="D609" s="28"/>
      <c r="E609" s="28"/>
      <c r="F609" s="40" t="s">
        <v>41</v>
      </c>
      <c r="G609" s="41">
        <v>100.0</v>
      </c>
      <c r="H609" s="42">
        <v>1.0</v>
      </c>
      <c r="I609" s="43"/>
      <c r="J609" s="44"/>
      <c r="K609" s="45">
        <f t="shared" si="53"/>
        <v>100</v>
      </c>
      <c r="L609" s="65" t="s">
        <v>42</v>
      </c>
      <c r="M609" s="34">
        <v>3500.0</v>
      </c>
      <c r="N609" s="28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</row>
    <row r="610" ht="18.75" customHeight="1">
      <c r="A610" s="28"/>
      <c r="B610" s="29"/>
      <c r="C610" s="30"/>
      <c r="D610" s="28"/>
      <c r="E610" s="28"/>
      <c r="F610" s="47" t="s">
        <v>43</v>
      </c>
      <c r="G610" s="41">
        <v>200.0</v>
      </c>
      <c r="H610" s="43"/>
      <c r="I610" s="48"/>
      <c r="J610" s="38"/>
      <c r="K610" s="39">
        <f t="shared" si="53"/>
        <v>0</v>
      </c>
      <c r="L610" s="58" t="s">
        <v>44</v>
      </c>
      <c r="M610" s="25">
        <v>5970.0</v>
      </c>
      <c r="N610" s="28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</row>
    <row r="611" ht="18.75" customHeight="1">
      <c r="A611" s="28"/>
      <c r="B611" s="29"/>
      <c r="C611" s="30"/>
      <c r="D611" s="28"/>
      <c r="E611" s="28"/>
      <c r="F611" s="47" t="s">
        <v>45</v>
      </c>
      <c r="G611" s="51">
        <v>150.0</v>
      </c>
      <c r="H611" s="43"/>
      <c r="I611" s="48"/>
      <c r="J611" s="38"/>
      <c r="K611" s="39">
        <f t="shared" si="53"/>
        <v>0</v>
      </c>
      <c r="L611" s="65" t="s">
        <v>46</v>
      </c>
      <c r="M611" s="45">
        <f>800+720+760+45</f>
        <v>2325</v>
      </c>
      <c r="N611" s="28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</row>
    <row r="612" ht="18.75" customHeight="1">
      <c r="A612" s="28"/>
      <c r="B612" s="29"/>
      <c r="C612" s="30"/>
      <c r="D612" s="28"/>
      <c r="E612" s="28"/>
      <c r="F612" s="63" t="s">
        <v>47</v>
      </c>
      <c r="G612" s="38"/>
      <c r="H612" s="43"/>
      <c r="I612" s="48"/>
      <c r="J612" s="38"/>
      <c r="K612" s="39">
        <f t="shared" si="53"/>
        <v>0</v>
      </c>
      <c r="L612" s="58" t="s">
        <v>48</v>
      </c>
      <c r="M612" s="38"/>
      <c r="N612" s="28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</row>
    <row r="613" ht="18.75" customHeight="1">
      <c r="A613" s="28"/>
      <c r="B613" s="29"/>
      <c r="C613" s="30"/>
      <c r="D613" s="28"/>
      <c r="E613" s="59"/>
      <c r="F613" s="63" t="s">
        <v>49</v>
      </c>
      <c r="G613" s="38"/>
      <c r="H613" s="48"/>
      <c r="I613" s="43"/>
      <c r="J613" s="38"/>
      <c r="K613" s="39">
        <f t="shared" si="53"/>
        <v>0</v>
      </c>
      <c r="L613" s="58" t="s">
        <v>78</v>
      </c>
      <c r="M613" s="38"/>
      <c r="N613" s="59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</row>
    <row r="614" ht="18.75" customHeight="1">
      <c r="A614" s="28"/>
      <c r="B614" s="29"/>
      <c r="C614" s="30"/>
      <c r="D614" s="28"/>
      <c r="E614" s="72">
        <f>N624</f>
        <v>93913</v>
      </c>
      <c r="F614" s="98" t="s">
        <v>108</v>
      </c>
      <c r="G614" s="2"/>
      <c r="H614" s="3"/>
      <c r="I614" s="43"/>
      <c r="J614" s="44"/>
      <c r="K614" s="64">
        <f>SUM(K606:K613)</f>
        <v>22550</v>
      </c>
      <c r="L614" s="65" t="s">
        <v>33</v>
      </c>
      <c r="M614" s="64">
        <f>SUM(M606:M613)</f>
        <v>12345</v>
      </c>
      <c r="N614" s="26">
        <f>E614+K614-M614</f>
        <v>104118</v>
      </c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</row>
    <row r="615" ht="51.0" customHeight="1">
      <c r="A615" s="59"/>
      <c r="B615" s="60"/>
      <c r="C615" s="61"/>
      <c r="D615" s="59"/>
      <c r="E615" s="63" t="s">
        <v>109</v>
      </c>
      <c r="F615" s="70" t="s">
        <v>240</v>
      </c>
      <c r="G615" s="2"/>
      <c r="H615" s="2"/>
      <c r="I615" s="2"/>
      <c r="J615" s="2"/>
      <c r="K615" s="2"/>
      <c r="L615" s="2"/>
      <c r="M615" s="2"/>
      <c r="N615" s="3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</row>
    <row r="616" ht="18.75" customHeight="1">
      <c r="A616" s="13">
        <v>1175.0</v>
      </c>
      <c r="B616" s="14">
        <v>45717.0</v>
      </c>
      <c r="C616" s="15"/>
      <c r="D616" s="16" t="s">
        <v>241</v>
      </c>
      <c r="E616" s="16" t="s">
        <v>242</v>
      </c>
      <c r="F616" s="40" t="s">
        <v>35</v>
      </c>
      <c r="G616" s="51">
        <v>200.0</v>
      </c>
      <c r="H616" s="66">
        <v>139.0</v>
      </c>
      <c r="I616" s="48"/>
      <c r="J616" s="38"/>
      <c r="K616" s="39">
        <f t="shared" ref="K616:K623" si="54">G616*H616</f>
        <v>27800</v>
      </c>
      <c r="L616" s="51" t="s">
        <v>36</v>
      </c>
      <c r="M616" s="39">
        <v>0.0</v>
      </c>
      <c r="N616" s="26">
        <f>K624-M624</f>
        <v>5260</v>
      </c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</row>
    <row r="617" ht="18.75" customHeight="1">
      <c r="A617" s="28"/>
      <c r="B617" s="29"/>
      <c r="C617" s="30"/>
      <c r="D617" s="28"/>
      <c r="E617" s="28"/>
      <c r="F617" s="67" t="s">
        <v>37</v>
      </c>
      <c r="G617" s="41">
        <v>150.0</v>
      </c>
      <c r="H617" s="42">
        <v>80.0</v>
      </c>
      <c r="I617" s="43"/>
      <c r="J617" s="44"/>
      <c r="K617" s="45">
        <f t="shared" si="54"/>
        <v>12000</v>
      </c>
      <c r="L617" s="41" t="s">
        <v>38</v>
      </c>
      <c r="M617" s="45">
        <v>200.0</v>
      </c>
      <c r="N617" s="35" t="s">
        <v>20</v>
      </c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</row>
    <row r="618" ht="18.75" customHeight="1">
      <c r="A618" s="28"/>
      <c r="B618" s="29"/>
      <c r="C618" s="30"/>
      <c r="D618" s="28"/>
      <c r="E618" s="28"/>
      <c r="F618" s="68" t="s">
        <v>39</v>
      </c>
      <c r="G618" s="51">
        <v>150.0</v>
      </c>
      <c r="H618" s="42">
        <v>2.0</v>
      </c>
      <c r="I618" s="48"/>
      <c r="J618" s="38"/>
      <c r="K618" s="39">
        <f t="shared" si="54"/>
        <v>300</v>
      </c>
      <c r="L618" s="58" t="s">
        <v>40</v>
      </c>
      <c r="M618" s="25">
        <v>400.0</v>
      </c>
      <c r="N618" s="28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</row>
    <row r="619" ht="18.75" customHeight="1">
      <c r="A619" s="28"/>
      <c r="B619" s="29"/>
      <c r="C619" s="30"/>
      <c r="D619" s="28"/>
      <c r="E619" s="28"/>
      <c r="F619" s="40" t="s">
        <v>41</v>
      </c>
      <c r="G619" s="41">
        <v>100.0</v>
      </c>
      <c r="H619" s="42"/>
      <c r="I619" s="43"/>
      <c r="J619" s="44"/>
      <c r="K619" s="45">
        <f t="shared" si="54"/>
        <v>0</v>
      </c>
      <c r="L619" s="65" t="s">
        <v>42</v>
      </c>
      <c r="M619" s="34">
        <v>3500.0</v>
      </c>
      <c r="N619" s="28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</row>
    <row r="620" ht="18.75" customHeight="1">
      <c r="A620" s="28"/>
      <c r="B620" s="29"/>
      <c r="C620" s="30"/>
      <c r="D620" s="28"/>
      <c r="E620" s="28"/>
      <c r="F620" s="47" t="s">
        <v>43</v>
      </c>
      <c r="G620" s="41">
        <v>200.0</v>
      </c>
      <c r="H620" s="43"/>
      <c r="I620" s="48"/>
      <c r="J620" s="38"/>
      <c r="K620" s="39">
        <f t="shared" si="54"/>
        <v>0</v>
      </c>
      <c r="L620" s="58" t="s">
        <v>44</v>
      </c>
      <c r="M620" s="25">
        <f>14230+12430</f>
        <v>26660</v>
      </c>
      <c r="N620" s="28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</row>
    <row r="621" ht="18.75" customHeight="1">
      <c r="A621" s="28"/>
      <c r="B621" s="29"/>
      <c r="C621" s="30"/>
      <c r="D621" s="28"/>
      <c r="E621" s="28"/>
      <c r="F621" s="47" t="s">
        <v>45</v>
      </c>
      <c r="G621" s="51">
        <v>150.0</v>
      </c>
      <c r="H621" s="43"/>
      <c r="I621" s="48"/>
      <c r="J621" s="38"/>
      <c r="K621" s="39">
        <f t="shared" si="54"/>
        <v>0</v>
      </c>
      <c r="L621" s="65" t="s">
        <v>46</v>
      </c>
      <c r="M621" s="45">
        <f>1000+180+360+1430+960+450</f>
        <v>4380</v>
      </c>
      <c r="N621" s="28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</row>
    <row r="622" ht="18.75" customHeight="1">
      <c r="A622" s="28"/>
      <c r="B622" s="29"/>
      <c r="C622" s="30"/>
      <c r="D622" s="28"/>
      <c r="E622" s="28"/>
      <c r="F622" s="115" t="s">
        <v>243</v>
      </c>
      <c r="G622" s="53">
        <v>300.0</v>
      </c>
      <c r="H622" s="116">
        <v>1.0</v>
      </c>
      <c r="I622" s="48"/>
      <c r="J622" s="38"/>
      <c r="K622" s="39">
        <f t="shared" si="54"/>
        <v>300</v>
      </c>
      <c r="L622" s="58" t="s">
        <v>48</v>
      </c>
      <c r="M622" s="38"/>
      <c r="N622" s="28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</row>
    <row r="623" ht="18.75" customHeight="1">
      <c r="A623" s="28"/>
      <c r="B623" s="29"/>
      <c r="C623" s="30"/>
      <c r="D623" s="28"/>
      <c r="E623" s="59"/>
      <c r="F623" s="63" t="s">
        <v>49</v>
      </c>
      <c r="G623" s="38"/>
      <c r="H623" s="48"/>
      <c r="I623" s="43"/>
      <c r="J623" s="38"/>
      <c r="K623" s="39">
        <f t="shared" si="54"/>
        <v>0</v>
      </c>
      <c r="L623" s="58" t="s">
        <v>78</v>
      </c>
      <c r="M623" s="38"/>
      <c r="N623" s="59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</row>
    <row r="624" ht="18.75" customHeight="1">
      <c r="A624" s="28"/>
      <c r="B624" s="29"/>
      <c r="C624" s="30"/>
      <c r="D624" s="28"/>
      <c r="E624" s="72">
        <v>88653.0</v>
      </c>
      <c r="F624" s="98" t="s">
        <v>108</v>
      </c>
      <c r="G624" s="2"/>
      <c r="H624" s="3"/>
      <c r="I624" s="43"/>
      <c r="J624" s="44"/>
      <c r="K624" s="64">
        <f>SUM(K616:K623)</f>
        <v>40400</v>
      </c>
      <c r="L624" s="65" t="s">
        <v>33</v>
      </c>
      <c r="M624" s="64">
        <f>SUM(M616:M623)</f>
        <v>35140</v>
      </c>
      <c r="N624" s="26">
        <f>E624+K624-M624</f>
        <v>93913</v>
      </c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</row>
    <row r="625" ht="52.5" customHeight="1">
      <c r="A625" s="59"/>
      <c r="B625" s="60"/>
      <c r="C625" s="61"/>
      <c r="D625" s="59"/>
      <c r="E625" s="63" t="s">
        <v>109</v>
      </c>
      <c r="F625" s="70" t="s">
        <v>244</v>
      </c>
      <c r="G625" s="2"/>
      <c r="H625" s="2"/>
      <c r="I625" s="2"/>
      <c r="J625" s="2"/>
      <c r="K625" s="2"/>
      <c r="L625" s="2"/>
      <c r="M625" s="2"/>
      <c r="N625" s="3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</row>
    <row r="626" ht="15.75" customHeight="1">
      <c r="A626" s="117"/>
      <c r="B626" s="117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8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  <c r="AA626" s="117"/>
      <c r="AB626" s="117"/>
    </row>
    <row r="627" ht="15.75" customHeight="1">
      <c r="A627" s="117"/>
      <c r="B627" s="117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9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  <c r="AA627" s="117"/>
      <c r="AB627" s="117"/>
    </row>
    <row r="628" ht="15.75" customHeight="1">
      <c r="A628" s="117"/>
      <c r="B628" s="117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9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  <c r="AA628" s="117"/>
      <c r="AB628" s="117"/>
    </row>
    <row r="629" ht="15.75" customHeight="1">
      <c r="A629" s="117"/>
      <c r="B629" s="117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9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  <c r="AA629" s="117"/>
      <c r="AB629" s="117"/>
    </row>
    <row r="630" ht="15.75" customHeight="1">
      <c r="A630" s="117"/>
      <c r="B630" s="117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9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  <c r="AA630" s="117"/>
      <c r="AB630" s="117"/>
    </row>
    <row r="631" ht="15.75" customHeight="1">
      <c r="A631" s="117"/>
      <c r="B631" s="117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9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  <c r="AA631" s="117"/>
      <c r="AB631" s="117"/>
    </row>
    <row r="632" ht="15.75" customHeight="1">
      <c r="A632" s="117"/>
      <c r="B632" s="117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9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  <c r="AA632" s="117"/>
      <c r="AB632" s="117"/>
    </row>
    <row r="633" ht="15.75" customHeight="1">
      <c r="A633" s="117"/>
      <c r="B633" s="117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9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  <c r="AA633" s="117"/>
      <c r="AB633" s="117"/>
    </row>
    <row r="634" ht="15.75" customHeight="1">
      <c r="A634" s="117"/>
      <c r="B634" s="117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9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  <c r="AA634" s="117"/>
      <c r="AB634" s="117"/>
    </row>
    <row r="635" ht="15.75" customHeight="1">
      <c r="A635" s="117"/>
      <c r="B635" s="117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9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  <c r="AA635" s="117"/>
      <c r="AB635" s="117"/>
    </row>
    <row r="636" ht="15.75" customHeight="1">
      <c r="A636" s="117"/>
      <c r="B636" s="117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9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  <c r="AA636" s="117"/>
      <c r="AB636" s="117"/>
    </row>
    <row r="637" ht="15.75" customHeight="1">
      <c r="A637" s="117"/>
      <c r="B637" s="117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9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  <c r="AA637" s="117"/>
      <c r="AB637" s="117"/>
    </row>
    <row r="638" ht="15.75" customHeight="1">
      <c r="A638" s="117"/>
      <c r="B638" s="117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9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  <c r="AA638" s="117"/>
      <c r="AB638" s="117"/>
    </row>
    <row r="639" ht="15.75" customHeight="1">
      <c r="A639" s="117"/>
      <c r="B639" s="117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9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  <c r="AA639" s="117"/>
      <c r="AB639" s="117"/>
    </row>
    <row r="640" ht="15.75" customHeight="1">
      <c r="A640" s="117"/>
      <c r="B640" s="117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9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  <c r="AA640" s="117"/>
      <c r="AB640" s="117"/>
    </row>
    <row r="641" ht="15.75" customHeight="1">
      <c r="A641" s="117"/>
      <c r="B641" s="117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9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  <c r="AA641" s="117"/>
      <c r="AB641" s="117"/>
    </row>
    <row r="642" ht="15.75" customHeight="1">
      <c r="A642" s="117"/>
      <c r="B642" s="117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9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  <c r="AA642" s="117"/>
      <c r="AB642" s="117"/>
    </row>
    <row r="643" ht="15.75" customHeight="1">
      <c r="A643" s="117"/>
      <c r="B643" s="117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9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  <c r="AA643" s="117"/>
      <c r="AB643" s="117"/>
    </row>
    <row r="644" ht="15.75" customHeight="1">
      <c r="A644" s="117"/>
      <c r="B644" s="117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9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  <c r="AA644" s="117"/>
      <c r="AB644" s="117"/>
    </row>
    <row r="645" ht="15.75" customHeight="1">
      <c r="A645" s="117"/>
      <c r="B645" s="117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9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  <c r="AA645" s="117"/>
      <c r="AB645" s="117"/>
    </row>
    <row r="646" ht="15.75" customHeight="1">
      <c r="A646" s="117"/>
      <c r="B646" s="117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9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  <c r="AA646" s="117"/>
      <c r="AB646" s="117"/>
    </row>
    <row r="647" ht="15.75" customHeight="1">
      <c r="A647" s="117"/>
      <c r="B647" s="117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9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  <c r="AA647" s="117"/>
      <c r="AB647" s="117"/>
    </row>
    <row r="648" ht="15.75" customHeight="1">
      <c r="A648" s="117"/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9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  <c r="AA648" s="117"/>
      <c r="AB648" s="117"/>
    </row>
    <row r="649" ht="15.75" customHeight="1">
      <c r="A649" s="117"/>
      <c r="B649" s="117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9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  <c r="AA649" s="117"/>
      <c r="AB649" s="117"/>
    </row>
    <row r="650" ht="15.75" customHeight="1">
      <c r="A650" s="117"/>
      <c r="B650" s="117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9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  <c r="AA650" s="117"/>
      <c r="AB650" s="117"/>
    </row>
    <row r="651" ht="15.75" customHeight="1">
      <c r="A651" s="117"/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9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  <c r="AA651" s="117"/>
      <c r="AB651" s="117"/>
    </row>
    <row r="652" ht="15.75" customHeight="1">
      <c r="A652" s="117"/>
      <c r="B652" s="117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9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  <c r="AA652" s="117"/>
      <c r="AB652" s="117"/>
    </row>
    <row r="653" ht="15.75" customHeight="1">
      <c r="A653" s="117"/>
      <c r="B653" s="117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9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  <c r="AA653" s="117"/>
      <c r="AB653" s="117"/>
    </row>
    <row r="654" ht="15.75" customHeight="1">
      <c r="A654" s="117"/>
      <c r="B654" s="117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9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  <c r="AA654" s="117"/>
      <c r="AB654" s="117"/>
    </row>
    <row r="655" ht="15.75" customHeight="1">
      <c r="A655" s="117"/>
      <c r="B655" s="117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9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  <c r="AA655" s="117"/>
      <c r="AB655" s="117"/>
    </row>
    <row r="656" ht="15.75" customHeight="1">
      <c r="A656" s="117"/>
      <c r="B656" s="117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9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  <c r="AA656" s="117"/>
      <c r="AB656" s="117"/>
    </row>
    <row r="657" ht="15.75" customHeight="1">
      <c r="A657" s="117"/>
      <c r="B657" s="117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9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  <c r="AA657" s="117"/>
      <c r="AB657" s="117"/>
    </row>
    <row r="658" ht="15.75" customHeight="1">
      <c r="A658" s="117"/>
      <c r="B658" s="117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9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  <c r="AA658" s="117"/>
      <c r="AB658" s="117"/>
    </row>
    <row r="659" ht="15.75" customHeight="1">
      <c r="A659" s="117"/>
      <c r="B659" s="117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9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  <c r="AA659" s="117"/>
      <c r="AB659" s="117"/>
    </row>
    <row r="660" ht="15.75" customHeight="1">
      <c r="A660" s="117"/>
      <c r="B660" s="117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9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</row>
    <row r="661" ht="15.75" customHeight="1">
      <c r="A661" s="117"/>
      <c r="B661" s="117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9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  <c r="AA661" s="117"/>
      <c r="AB661" s="117"/>
    </row>
    <row r="662" ht="15.75" customHeight="1">
      <c r="A662" s="117"/>
      <c r="B662" s="117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9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  <c r="AA662" s="117"/>
      <c r="AB662" s="117"/>
    </row>
    <row r="663" ht="15.75" customHeight="1">
      <c r="A663" s="117"/>
      <c r="B663" s="117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9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  <c r="AA663" s="117"/>
      <c r="AB663" s="117"/>
    </row>
    <row r="664" ht="15.75" customHeight="1">
      <c r="A664" s="117"/>
      <c r="B664" s="117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9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</row>
    <row r="665" ht="15.75" customHeight="1">
      <c r="A665" s="117"/>
      <c r="B665" s="117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9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</row>
    <row r="666" ht="15.75" customHeight="1">
      <c r="A666" s="117"/>
      <c r="B666" s="117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9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</row>
    <row r="667" ht="15.75" customHeight="1">
      <c r="A667" s="117"/>
      <c r="B667" s="117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9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</row>
    <row r="668" ht="15.75" customHeight="1">
      <c r="A668" s="117"/>
      <c r="B668" s="117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9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</row>
    <row r="669" ht="15.75" customHeight="1">
      <c r="A669" s="117"/>
      <c r="B669" s="117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9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</row>
    <row r="670" ht="15.75" customHeight="1">
      <c r="A670" s="117"/>
      <c r="B670" s="117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9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</row>
    <row r="671" ht="15.75" customHeight="1">
      <c r="A671" s="117"/>
      <c r="B671" s="117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9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  <c r="AA671" s="117"/>
      <c r="AB671" s="117"/>
    </row>
    <row r="672" ht="15.75" customHeight="1">
      <c r="A672" s="117"/>
      <c r="B672" s="117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9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  <c r="AA672" s="117"/>
      <c r="AB672" s="117"/>
    </row>
    <row r="673" ht="15.75" customHeight="1">
      <c r="A673" s="117"/>
      <c r="B673" s="117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9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  <c r="AA673" s="117"/>
      <c r="AB673" s="117"/>
    </row>
    <row r="674" ht="15.75" customHeight="1">
      <c r="A674" s="117"/>
      <c r="B674" s="117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9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  <c r="AA674" s="117"/>
      <c r="AB674" s="117"/>
    </row>
    <row r="675" ht="15.75" customHeight="1">
      <c r="A675" s="117"/>
      <c r="B675" s="117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9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  <c r="AA675" s="117"/>
      <c r="AB675" s="117"/>
    </row>
    <row r="676" ht="15.75" customHeight="1">
      <c r="A676" s="117"/>
      <c r="B676" s="117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9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  <c r="AA676" s="117"/>
      <c r="AB676" s="117"/>
    </row>
    <row r="677" ht="15.75" customHeight="1">
      <c r="A677" s="117"/>
      <c r="B677" s="117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9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  <c r="AA677" s="117"/>
      <c r="AB677" s="117"/>
    </row>
    <row r="678" ht="15.75" customHeight="1">
      <c r="A678" s="117"/>
      <c r="B678" s="117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9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  <c r="AA678" s="117"/>
      <c r="AB678" s="117"/>
    </row>
    <row r="679" ht="15.75" customHeight="1">
      <c r="A679" s="117"/>
      <c r="B679" s="117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9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  <c r="AA679" s="117"/>
      <c r="AB679" s="117"/>
    </row>
    <row r="680" ht="15.75" customHeight="1">
      <c r="A680" s="117"/>
      <c r="B680" s="117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9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  <c r="AA680" s="117"/>
      <c r="AB680" s="117"/>
    </row>
    <row r="681" ht="15.75" customHeight="1">
      <c r="A681" s="117"/>
      <c r="B681" s="117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9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  <c r="AA681" s="117"/>
      <c r="AB681" s="117"/>
    </row>
    <row r="682" ht="15.75" customHeight="1">
      <c r="A682" s="117"/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9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  <c r="AA682" s="117"/>
      <c r="AB682" s="117"/>
    </row>
    <row r="683" ht="15.75" customHeight="1">
      <c r="A683" s="117"/>
      <c r="B683" s="117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9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  <c r="AA683" s="117"/>
      <c r="AB683" s="117"/>
    </row>
    <row r="684" ht="15.75" customHeight="1">
      <c r="A684" s="117"/>
      <c r="B684" s="117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9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  <c r="AA684" s="117"/>
      <c r="AB684" s="117"/>
    </row>
    <row r="685" ht="15.75" customHeight="1">
      <c r="A685" s="117"/>
      <c r="B685" s="117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9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  <c r="AA685" s="117"/>
      <c r="AB685" s="117"/>
    </row>
    <row r="686" ht="15.75" customHeight="1">
      <c r="A686" s="117"/>
      <c r="B686" s="117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9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  <c r="AA686" s="117"/>
      <c r="AB686" s="117"/>
    </row>
    <row r="687" ht="15.75" customHeight="1">
      <c r="A687" s="117"/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9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  <c r="AA687" s="117"/>
      <c r="AB687" s="117"/>
    </row>
    <row r="688" ht="15.75" customHeight="1">
      <c r="A688" s="117"/>
      <c r="B688" s="117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9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  <c r="AA688" s="117"/>
      <c r="AB688" s="117"/>
    </row>
    <row r="689" ht="15.75" customHeight="1">
      <c r="A689" s="117"/>
      <c r="B689" s="117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9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  <c r="AA689" s="117"/>
      <c r="AB689" s="117"/>
    </row>
    <row r="690" ht="15.75" customHeight="1">
      <c r="A690" s="117"/>
      <c r="B690" s="117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9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  <c r="AA690" s="117"/>
      <c r="AB690" s="117"/>
    </row>
    <row r="691" ht="15.75" customHeight="1">
      <c r="A691" s="117"/>
      <c r="B691" s="117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9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  <c r="AA691" s="117"/>
      <c r="AB691" s="117"/>
    </row>
    <row r="692" ht="15.75" customHeight="1">
      <c r="A692" s="117"/>
      <c r="B692" s="117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9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  <c r="AA692" s="117"/>
      <c r="AB692" s="117"/>
    </row>
    <row r="693" ht="15.75" customHeight="1">
      <c r="A693" s="117"/>
      <c r="B693" s="117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9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  <c r="AA693" s="117"/>
      <c r="AB693" s="117"/>
    </row>
    <row r="694" ht="15.75" customHeight="1">
      <c r="A694" s="117"/>
      <c r="B694" s="117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9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  <c r="AA694" s="117"/>
      <c r="AB694" s="117"/>
    </row>
    <row r="695" ht="15.75" customHeight="1">
      <c r="A695" s="117"/>
      <c r="B695" s="117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9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</row>
    <row r="696" ht="15.75" customHeight="1">
      <c r="A696" s="117"/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9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  <c r="AA696" s="117"/>
      <c r="AB696" s="117"/>
    </row>
    <row r="697" ht="15.75" customHeight="1">
      <c r="A697" s="117"/>
      <c r="B697" s="117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9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  <c r="AA697" s="117"/>
      <c r="AB697" s="117"/>
    </row>
    <row r="698" ht="15.75" customHeight="1">
      <c r="A698" s="117"/>
      <c r="B698" s="117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9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</row>
    <row r="699" ht="15.75" customHeight="1">
      <c r="A699" s="117"/>
      <c r="B699" s="117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9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  <c r="AA699" s="117"/>
      <c r="AB699" s="117"/>
    </row>
    <row r="700" ht="15.75" customHeight="1">
      <c r="A700" s="117"/>
      <c r="B700" s="117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9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  <c r="AA700" s="117"/>
      <c r="AB700" s="117"/>
    </row>
    <row r="701" ht="15.75" customHeight="1">
      <c r="A701" s="117"/>
      <c r="B701" s="117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9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  <c r="AA701" s="117"/>
      <c r="AB701" s="117"/>
    </row>
    <row r="702" ht="15.75" customHeight="1">
      <c r="A702" s="117"/>
      <c r="B702" s="117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9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</row>
    <row r="703" ht="15.75" customHeight="1">
      <c r="A703" s="117"/>
      <c r="B703" s="117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9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  <c r="AA703" s="117"/>
      <c r="AB703" s="117"/>
    </row>
    <row r="704" ht="15.75" customHeight="1">
      <c r="A704" s="117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9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  <c r="AA704" s="117"/>
      <c r="AB704" s="117"/>
    </row>
    <row r="705" ht="15.75" customHeight="1">
      <c r="A705" s="117"/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9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  <c r="AA705" s="117"/>
      <c r="AB705" s="117"/>
    </row>
    <row r="706" ht="15.75" customHeight="1">
      <c r="A706" s="117"/>
      <c r="B706" s="117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9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  <c r="AA706" s="117"/>
      <c r="AB706" s="117"/>
    </row>
    <row r="707" ht="15.75" customHeight="1">
      <c r="A707" s="117"/>
      <c r="B707" s="117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9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  <c r="AA707" s="117"/>
      <c r="AB707" s="117"/>
    </row>
    <row r="708" ht="15.75" customHeight="1">
      <c r="A708" s="117"/>
      <c r="B708" s="117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9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  <c r="AA708" s="117"/>
      <c r="AB708" s="117"/>
    </row>
    <row r="709" ht="15.75" customHeight="1">
      <c r="A709" s="117"/>
      <c r="B709" s="117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9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  <c r="AA709" s="117"/>
      <c r="AB709" s="117"/>
    </row>
    <row r="710" ht="15.75" customHeight="1">
      <c r="A710" s="117"/>
      <c r="B710" s="117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9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  <c r="AA710" s="117"/>
      <c r="AB710" s="117"/>
    </row>
    <row r="711" ht="15.75" customHeight="1">
      <c r="A711" s="117"/>
      <c r="B711" s="117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9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  <c r="AA711" s="117"/>
      <c r="AB711" s="117"/>
    </row>
    <row r="712" ht="15.75" customHeight="1">
      <c r="A712" s="117"/>
      <c r="B712" s="117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9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  <c r="AA712" s="117"/>
      <c r="AB712" s="117"/>
    </row>
    <row r="713" ht="15.75" customHeight="1">
      <c r="A713" s="117"/>
      <c r="B713" s="117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9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</row>
    <row r="714" ht="15.75" customHeight="1">
      <c r="A714" s="117"/>
      <c r="B714" s="117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9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  <c r="AA714" s="117"/>
      <c r="AB714" s="117"/>
    </row>
    <row r="715" ht="15.75" customHeight="1">
      <c r="A715" s="117"/>
      <c r="B715" s="117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9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  <c r="AA715" s="117"/>
      <c r="AB715" s="117"/>
    </row>
    <row r="716" ht="15.75" customHeight="1">
      <c r="A716" s="117"/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9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  <c r="AA716" s="117"/>
      <c r="AB716" s="117"/>
    </row>
    <row r="717" ht="15.75" customHeight="1">
      <c r="A717" s="117"/>
      <c r="B717" s="117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9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  <c r="AA717" s="117"/>
      <c r="AB717" s="117"/>
    </row>
    <row r="718" ht="15.75" customHeight="1">
      <c r="A718" s="117"/>
      <c r="B718" s="117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9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  <c r="AA718" s="117"/>
      <c r="AB718" s="117"/>
    </row>
    <row r="719" ht="15.75" customHeight="1">
      <c r="A719" s="117"/>
      <c r="B719" s="117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9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  <c r="AA719" s="117"/>
      <c r="AB719" s="117"/>
    </row>
    <row r="720" ht="15.75" customHeight="1">
      <c r="A720" s="117"/>
      <c r="B720" s="117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9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  <c r="AA720" s="117"/>
      <c r="AB720" s="117"/>
    </row>
    <row r="721" ht="15.75" customHeight="1">
      <c r="A721" s="117"/>
      <c r="B721" s="117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9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  <c r="AA721" s="117"/>
      <c r="AB721" s="117"/>
    </row>
    <row r="722" ht="15.75" customHeight="1">
      <c r="A722" s="117"/>
      <c r="B722" s="117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9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  <c r="AA722" s="117"/>
      <c r="AB722" s="117"/>
    </row>
    <row r="723" ht="15.75" customHeight="1">
      <c r="A723" s="117"/>
      <c r="B723" s="117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9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  <c r="AA723" s="117"/>
      <c r="AB723" s="117"/>
    </row>
    <row r="724" ht="15.75" customHeight="1">
      <c r="A724" s="117"/>
      <c r="B724" s="117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9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  <c r="AA724" s="117"/>
      <c r="AB724" s="117"/>
    </row>
    <row r="725" ht="15.75" customHeight="1">
      <c r="A725" s="117"/>
      <c r="B725" s="117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9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  <c r="AA725" s="117"/>
      <c r="AB725" s="117"/>
    </row>
    <row r="726" ht="15.75" customHeight="1">
      <c r="A726" s="117"/>
      <c r="B726" s="117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9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  <c r="AA726" s="117"/>
      <c r="AB726" s="117"/>
    </row>
    <row r="727" ht="15.75" customHeight="1">
      <c r="A727" s="117"/>
      <c r="B727" s="117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9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  <c r="AA727" s="117"/>
      <c r="AB727" s="117"/>
    </row>
    <row r="728" ht="15.75" customHeight="1">
      <c r="A728" s="117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9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  <c r="AA728" s="117"/>
      <c r="AB728" s="117"/>
    </row>
    <row r="729" ht="15.75" customHeight="1">
      <c r="A729" s="117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9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  <c r="AA729" s="117"/>
      <c r="AB729" s="117"/>
    </row>
    <row r="730" ht="15.75" customHeight="1">
      <c r="A730" s="117"/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9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  <c r="AA730" s="117"/>
      <c r="AB730" s="117"/>
    </row>
    <row r="731" ht="15.75" customHeight="1">
      <c r="A731" s="117"/>
      <c r="B731" s="117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9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  <c r="AA731" s="117"/>
      <c r="AB731" s="117"/>
    </row>
    <row r="732" ht="15.75" customHeight="1">
      <c r="A732" s="117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9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  <c r="AA732" s="117"/>
      <c r="AB732" s="117"/>
    </row>
    <row r="733" ht="15.75" customHeight="1">
      <c r="A733" s="117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9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  <c r="AA733" s="117"/>
      <c r="AB733" s="117"/>
    </row>
    <row r="734" ht="15.75" customHeight="1">
      <c r="A734" s="117"/>
      <c r="B734" s="117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9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  <c r="AA734" s="117"/>
      <c r="AB734" s="117"/>
    </row>
    <row r="735" ht="15.75" customHeight="1">
      <c r="A735" s="117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9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  <c r="AA735" s="117"/>
      <c r="AB735" s="117"/>
    </row>
    <row r="736" ht="15.75" customHeight="1">
      <c r="A736" s="117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9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  <c r="AA736" s="117"/>
      <c r="AB736" s="117"/>
    </row>
    <row r="737" ht="15.75" customHeight="1">
      <c r="A737" s="117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9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  <c r="AA737" s="117"/>
      <c r="AB737" s="117"/>
    </row>
    <row r="738" ht="15.75" customHeight="1">
      <c r="A738" s="117"/>
      <c r="B738" s="117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9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  <c r="AA738" s="117"/>
      <c r="AB738" s="117"/>
    </row>
    <row r="739" ht="15.75" customHeight="1">
      <c r="A739" s="117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9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  <c r="AA739" s="117"/>
      <c r="AB739" s="117"/>
    </row>
    <row r="740" ht="15.75" customHeight="1">
      <c r="A740" s="117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9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  <c r="AA740" s="117"/>
      <c r="AB740" s="117"/>
    </row>
    <row r="741" ht="15.75" customHeight="1">
      <c r="A741" s="117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9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  <c r="AA741" s="117"/>
      <c r="AB741" s="117"/>
    </row>
    <row r="742" ht="15.75" customHeight="1">
      <c r="A742" s="117"/>
      <c r="B742" s="117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9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  <c r="AA742" s="117"/>
      <c r="AB742" s="117"/>
    </row>
    <row r="743" ht="15.75" customHeight="1">
      <c r="A743" s="117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9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  <c r="AA743" s="117"/>
      <c r="AB743" s="117"/>
    </row>
    <row r="744" ht="15.75" customHeight="1">
      <c r="A744" s="117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9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  <c r="AA744" s="117"/>
      <c r="AB744" s="117"/>
    </row>
    <row r="745" ht="15.75" customHeight="1">
      <c r="A745" s="117"/>
      <c r="B745" s="117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9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  <c r="AA745" s="117"/>
      <c r="AB745" s="117"/>
    </row>
    <row r="746" ht="15.75" customHeight="1">
      <c r="A746" s="117"/>
      <c r="B746" s="117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9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  <c r="AA746" s="117"/>
      <c r="AB746" s="117"/>
    </row>
    <row r="747" ht="15.75" customHeight="1">
      <c r="A747" s="117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9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  <c r="AA747" s="117"/>
      <c r="AB747" s="117"/>
    </row>
    <row r="748" ht="15.75" customHeight="1">
      <c r="A748" s="117"/>
      <c r="B748" s="117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9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  <c r="AA748" s="117"/>
      <c r="AB748" s="117"/>
    </row>
    <row r="749" ht="15.75" customHeight="1">
      <c r="A749" s="117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9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  <c r="AA749" s="117"/>
      <c r="AB749" s="117"/>
    </row>
    <row r="750" ht="15.75" customHeight="1">
      <c r="A750" s="117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9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  <c r="AA750" s="117"/>
      <c r="AB750" s="117"/>
    </row>
    <row r="751" ht="15.75" customHeight="1">
      <c r="A751" s="117"/>
      <c r="B751" s="117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9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  <c r="AA751" s="117"/>
      <c r="AB751" s="117"/>
    </row>
    <row r="752" ht="15.75" customHeight="1">
      <c r="A752" s="117"/>
      <c r="B752" s="117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9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  <c r="AA752" s="117"/>
      <c r="AB752" s="117"/>
    </row>
    <row r="753" ht="15.75" customHeight="1">
      <c r="A753" s="117"/>
      <c r="B753" s="117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9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  <c r="AA753" s="117"/>
      <c r="AB753" s="117"/>
    </row>
    <row r="754" ht="15.75" customHeight="1">
      <c r="A754" s="117"/>
      <c r="B754" s="117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9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  <c r="AA754" s="117"/>
      <c r="AB754" s="117"/>
    </row>
    <row r="755" ht="15.75" customHeight="1">
      <c r="A755" s="117"/>
      <c r="B755" s="117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9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  <c r="AA755" s="117"/>
      <c r="AB755" s="117"/>
    </row>
    <row r="756" ht="15.75" customHeight="1">
      <c r="A756" s="117"/>
      <c r="B756" s="117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9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  <c r="AA756" s="117"/>
      <c r="AB756" s="117"/>
    </row>
    <row r="757" ht="15.75" customHeight="1">
      <c r="A757" s="117"/>
      <c r="B757" s="117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9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  <c r="AA757" s="117"/>
      <c r="AB757" s="117"/>
    </row>
    <row r="758" ht="15.75" customHeight="1">
      <c r="A758" s="117"/>
      <c r="B758" s="117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9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  <c r="AA758" s="117"/>
      <c r="AB758" s="117"/>
    </row>
    <row r="759" ht="15.75" customHeight="1">
      <c r="A759" s="117"/>
      <c r="B759" s="117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9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  <c r="AA759" s="117"/>
      <c r="AB759" s="117"/>
    </row>
    <row r="760" ht="15.75" customHeight="1">
      <c r="A760" s="117"/>
      <c r="B760" s="117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9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  <c r="AA760" s="117"/>
      <c r="AB760" s="117"/>
    </row>
    <row r="761" ht="15.75" customHeight="1">
      <c r="A761" s="117"/>
      <c r="B761" s="117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9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  <c r="AA761" s="117"/>
      <c r="AB761" s="117"/>
    </row>
    <row r="762" ht="15.75" customHeight="1">
      <c r="A762" s="117"/>
      <c r="B762" s="117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9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  <c r="AA762" s="117"/>
      <c r="AB762" s="117"/>
    </row>
    <row r="763" ht="15.75" customHeight="1">
      <c r="A763" s="117"/>
      <c r="B763" s="117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9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  <c r="AA763" s="117"/>
      <c r="AB763" s="117"/>
    </row>
    <row r="764" ht="15.75" customHeight="1">
      <c r="A764" s="117"/>
      <c r="B764" s="117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9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  <c r="AA764" s="117"/>
      <c r="AB764" s="117"/>
    </row>
    <row r="765" ht="15.75" customHeight="1">
      <c r="A765" s="117"/>
      <c r="B765" s="117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9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  <c r="AA765" s="117"/>
      <c r="AB765" s="117"/>
    </row>
    <row r="766" ht="15.75" customHeight="1">
      <c r="A766" s="117"/>
      <c r="B766" s="117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9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  <c r="AA766" s="117"/>
      <c r="AB766" s="117"/>
    </row>
    <row r="767" ht="15.75" customHeight="1">
      <c r="A767" s="117"/>
      <c r="B767" s="117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9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  <c r="AA767" s="117"/>
      <c r="AB767" s="117"/>
    </row>
    <row r="768" ht="15.75" customHeight="1">
      <c r="A768" s="117"/>
      <c r="B768" s="117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9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  <c r="AA768" s="117"/>
      <c r="AB768" s="117"/>
    </row>
    <row r="769" ht="15.75" customHeight="1">
      <c r="A769" s="117"/>
      <c r="B769" s="117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9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  <c r="AA769" s="117"/>
      <c r="AB769" s="117"/>
    </row>
    <row r="770" ht="15.75" customHeight="1">
      <c r="A770" s="117"/>
      <c r="B770" s="117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9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  <c r="AA770" s="117"/>
      <c r="AB770" s="117"/>
    </row>
    <row r="771" ht="15.75" customHeight="1">
      <c r="A771" s="120"/>
      <c r="N771" s="121"/>
    </row>
    <row r="772" ht="15.75" customHeight="1">
      <c r="A772" s="120"/>
      <c r="N772" s="121"/>
    </row>
    <row r="773" ht="15.75" customHeight="1">
      <c r="A773" s="120"/>
      <c r="N773" s="121"/>
    </row>
    <row r="774" ht="15.75" customHeight="1">
      <c r="A774" s="120"/>
      <c r="N774" s="121"/>
    </row>
    <row r="775" ht="15.75" customHeight="1">
      <c r="A775" s="120"/>
      <c r="N775" s="121"/>
    </row>
    <row r="776" ht="15.75" customHeight="1">
      <c r="A776" s="120"/>
      <c r="N776" s="121"/>
    </row>
    <row r="777" ht="15.75" customHeight="1">
      <c r="A777" s="120"/>
      <c r="N777" s="121"/>
    </row>
    <row r="778" ht="15.75" customHeight="1">
      <c r="A778" s="120"/>
      <c r="N778" s="121"/>
    </row>
    <row r="779" ht="15.75" customHeight="1">
      <c r="A779" s="120"/>
      <c r="N779" s="121"/>
    </row>
    <row r="780" ht="15.75" customHeight="1">
      <c r="A780" s="120"/>
      <c r="N780" s="121"/>
    </row>
    <row r="781" ht="15.75" customHeight="1">
      <c r="A781" s="120"/>
      <c r="N781" s="121"/>
    </row>
    <row r="782" ht="15.75" customHeight="1">
      <c r="A782" s="120"/>
      <c r="N782" s="121"/>
    </row>
    <row r="783" ht="15.75" customHeight="1">
      <c r="A783" s="120"/>
      <c r="N783" s="121"/>
    </row>
    <row r="784" ht="15.75" customHeight="1">
      <c r="A784" s="120"/>
      <c r="N784" s="121"/>
    </row>
    <row r="785" ht="15.75" customHeight="1">
      <c r="A785" s="120"/>
      <c r="N785" s="121"/>
    </row>
    <row r="786" ht="15.75" customHeight="1">
      <c r="A786" s="120"/>
      <c r="N786" s="121"/>
    </row>
    <row r="787" ht="15.75" customHeight="1">
      <c r="A787" s="120"/>
      <c r="N787" s="121"/>
    </row>
    <row r="788" ht="15.75" customHeight="1">
      <c r="A788" s="120"/>
      <c r="N788" s="121"/>
    </row>
    <row r="789" ht="15.75" customHeight="1">
      <c r="A789" s="120"/>
      <c r="N789" s="121"/>
    </row>
    <row r="790" ht="15.75" customHeight="1">
      <c r="A790" s="120"/>
      <c r="N790" s="121"/>
    </row>
    <row r="791" ht="15.75" customHeight="1">
      <c r="A791" s="120"/>
      <c r="N791" s="121"/>
    </row>
    <row r="792" ht="15.75" customHeight="1">
      <c r="A792" s="120"/>
      <c r="N792" s="121"/>
    </row>
    <row r="793" ht="15.75" customHeight="1">
      <c r="A793" s="120"/>
      <c r="N793" s="121"/>
    </row>
    <row r="794" ht="15.75" customHeight="1">
      <c r="A794" s="120"/>
      <c r="N794" s="121"/>
    </row>
    <row r="795" ht="15.75" customHeight="1">
      <c r="A795" s="120"/>
      <c r="N795" s="121"/>
    </row>
    <row r="796" ht="15.75" customHeight="1">
      <c r="A796" s="120"/>
      <c r="N796" s="121"/>
    </row>
    <row r="797" ht="15.75" customHeight="1">
      <c r="A797" s="120"/>
      <c r="N797" s="121"/>
    </row>
    <row r="798" ht="15.75" customHeight="1">
      <c r="A798" s="120"/>
      <c r="N798" s="121"/>
    </row>
    <row r="799" ht="15.75" customHeight="1">
      <c r="A799" s="120"/>
      <c r="N799" s="121"/>
    </row>
    <row r="800" ht="15.75" customHeight="1">
      <c r="A800" s="120"/>
      <c r="N800" s="121"/>
    </row>
    <row r="801" ht="15.75" customHeight="1">
      <c r="A801" s="120"/>
      <c r="N801" s="121"/>
    </row>
    <row r="802" ht="15.75" customHeight="1">
      <c r="A802" s="120"/>
      <c r="N802" s="121"/>
    </row>
    <row r="803" ht="15.75" customHeight="1">
      <c r="A803" s="120"/>
      <c r="N803" s="121"/>
    </row>
    <row r="804" ht="15.75" customHeight="1">
      <c r="A804" s="120"/>
      <c r="N804" s="121"/>
    </row>
    <row r="805" ht="15.75" customHeight="1">
      <c r="A805" s="120"/>
      <c r="N805" s="121"/>
    </row>
    <row r="806" ht="15.75" customHeight="1">
      <c r="A806" s="120"/>
      <c r="N806" s="121"/>
    </row>
    <row r="807" ht="15.75" customHeight="1">
      <c r="A807" s="120"/>
      <c r="N807" s="121"/>
    </row>
    <row r="808" ht="15.75" customHeight="1">
      <c r="A808" s="120"/>
      <c r="N808" s="121"/>
    </row>
    <row r="809" ht="15.75" customHeight="1">
      <c r="A809" s="120"/>
      <c r="N809" s="121"/>
    </row>
    <row r="810" ht="15.75" customHeight="1">
      <c r="A810" s="120"/>
      <c r="N810" s="121"/>
    </row>
    <row r="811" ht="15.75" customHeight="1">
      <c r="A811" s="120"/>
      <c r="N811" s="121"/>
    </row>
    <row r="812" ht="15.75" customHeight="1">
      <c r="A812" s="120"/>
      <c r="N812" s="121"/>
    </row>
    <row r="813" ht="15.75" customHeight="1">
      <c r="A813" s="120"/>
      <c r="N813" s="121"/>
    </row>
    <row r="814" ht="15.75" customHeight="1">
      <c r="A814" s="120"/>
      <c r="N814" s="121"/>
    </row>
    <row r="815" ht="15.75" customHeight="1">
      <c r="A815" s="120"/>
      <c r="N815" s="121"/>
    </row>
    <row r="816" ht="15.75" customHeight="1">
      <c r="A816" s="120"/>
      <c r="N816" s="121"/>
    </row>
    <row r="817" ht="15.75" customHeight="1">
      <c r="A817" s="120"/>
      <c r="N817" s="121"/>
    </row>
    <row r="818" ht="15.75" customHeight="1">
      <c r="A818" s="120"/>
      <c r="N818" s="121"/>
    </row>
    <row r="819" ht="15.75" customHeight="1">
      <c r="A819" s="120"/>
      <c r="N819" s="121"/>
    </row>
    <row r="820" ht="15.75" customHeight="1">
      <c r="A820" s="120"/>
      <c r="N820" s="121"/>
    </row>
    <row r="821" ht="15.75" customHeight="1">
      <c r="A821" s="120"/>
      <c r="N821" s="121"/>
    </row>
    <row r="822" ht="15.75" customHeight="1">
      <c r="A822" s="120"/>
      <c r="N822" s="121"/>
    </row>
    <row r="823" ht="15.75" customHeight="1">
      <c r="A823" s="120"/>
      <c r="N823" s="121"/>
    </row>
    <row r="824" ht="15.75" customHeight="1">
      <c r="A824" s="120"/>
      <c r="N824" s="121"/>
    </row>
    <row r="825" ht="15.75" customHeight="1">
      <c r="A825" s="120"/>
      <c r="N825" s="121"/>
    </row>
    <row r="826" ht="15.75" customHeight="1">
      <c r="A826" s="120"/>
      <c r="N826" s="121"/>
    </row>
    <row r="827" ht="15.75" customHeight="1">
      <c r="A827" s="120"/>
      <c r="N827" s="121"/>
    </row>
    <row r="828" ht="15.75" customHeight="1">
      <c r="A828" s="120"/>
      <c r="N828" s="121"/>
    </row>
    <row r="829" ht="15.75" customHeight="1">
      <c r="A829" s="120"/>
      <c r="N829" s="121"/>
    </row>
    <row r="830" ht="15.75" customHeight="1">
      <c r="A830" s="120"/>
      <c r="N830" s="121"/>
    </row>
    <row r="831" ht="15.75" customHeight="1">
      <c r="A831" s="120"/>
      <c r="N831" s="121"/>
    </row>
    <row r="832" ht="15.75" customHeight="1">
      <c r="A832" s="120"/>
      <c r="N832" s="121"/>
    </row>
    <row r="833" ht="15.75" customHeight="1">
      <c r="A833" s="120"/>
      <c r="N833" s="121"/>
    </row>
    <row r="834" ht="15.75" customHeight="1">
      <c r="A834" s="120"/>
      <c r="N834" s="121"/>
    </row>
    <row r="835" ht="15.75" customHeight="1">
      <c r="A835" s="120"/>
      <c r="N835" s="121"/>
    </row>
    <row r="836" ht="15.75" customHeight="1">
      <c r="A836" s="120"/>
      <c r="N836" s="121"/>
    </row>
    <row r="837" ht="15.75" customHeight="1">
      <c r="A837" s="120"/>
      <c r="N837" s="121"/>
    </row>
    <row r="838" ht="15.75" customHeight="1">
      <c r="A838" s="120"/>
      <c r="N838" s="121"/>
    </row>
    <row r="839" ht="15.75" customHeight="1">
      <c r="A839" s="120"/>
      <c r="N839" s="121"/>
    </row>
    <row r="840" ht="15.75" customHeight="1">
      <c r="A840" s="120"/>
      <c r="N840" s="121"/>
    </row>
    <row r="841" ht="15.75" customHeight="1">
      <c r="A841" s="120"/>
      <c r="N841" s="121"/>
    </row>
    <row r="842" ht="15.75" customHeight="1">
      <c r="A842" s="120"/>
      <c r="N842" s="121"/>
    </row>
    <row r="843" ht="15.75" customHeight="1">
      <c r="A843" s="120"/>
      <c r="N843" s="121"/>
    </row>
    <row r="844" ht="15.75" customHeight="1">
      <c r="A844" s="120"/>
      <c r="N844" s="121"/>
    </row>
    <row r="845" ht="15.75" customHeight="1">
      <c r="A845" s="120"/>
      <c r="N845" s="121"/>
    </row>
    <row r="846" ht="15.75" customHeight="1">
      <c r="A846" s="120"/>
      <c r="N846" s="121"/>
    </row>
    <row r="847" ht="15.75" customHeight="1">
      <c r="A847" s="120"/>
      <c r="N847" s="121"/>
    </row>
    <row r="848" ht="15.75" customHeight="1">
      <c r="A848" s="120"/>
      <c r="N848" s="121"/>
    </row>
    <row r="849" ht="15.75" customHeight="1">
      <c r="A849" s="120"/>
      <c r="N849" s="121"/>
    </row>
    <row r="850" ht="15.75" customHeight="1">
      <c r="A850" s="120"/>
      <c r="N850" s="121"/>
    </row>
    <row r="851" ht="15.75" customHeight="1">
      <c r="A851" s="120"/>
      <c r="N851" s="121"/>
    </row>
    <row r="852" ht="15.75" customHeight="1">
      <c r="A852" s="120"/>
      <c r="N852" s="121"/>
    </row>
    <row r="853" ht="15.75" customHeight="1">
      <c r="A853" s="120"/>
      <c r="N853" s="121"/>
    </row>
    <row r="854" ht="15.75" customHeight="1">
      <c r="A854" s="120"/>
      <c r="N854" s="121"/>
    </row>
    <row r="855" ht="15.75" customHeight="1">
      <c r="A855" s="120"/>
      <c r="N855" s="121"/>
    </row>
    <row r="856" ht="15.75" customHeight="1">
      <c r="A856" s="120"/>
      <c r="N856" s="121"/>
    </row>
    <row r="857" ht="15.75" customHeight="1">
      <c r="A857" s="120"/>
      <c r="N857" s="121"/>
    </row>
    <row r="858" ht="15.75" customHeight="1">
      <c r="A858" s="120"/>
      <c r="N858" s="121"/>
    </row>
    <row r="859" ht="15.75" customHeight="1">
      <c r="A859" s="120"/>
      <c r="N859" s="121"/>
    </row>
    <row r="860" ht="15.75" customHeight="1">
      <c r="A860" s="120"/>
      <c r="N860" s="121"/>
    </row>
    <row r="861" ht="15.75" customHeight="1">
      <c r="A861" s="120"/>
      <c r="N861" s="121"/>
    </row>
    <row r="862" ht="15.75" customHeight="1">
      <c r="A862" s="120"/>
      <c r="N862" s="121"/>
    </row>
    <row r="863" ht="15.75" customHeight="1">
      <c r="A863" s="120"/>
      <c r="N863" s="121"/>
    </row>
    <row r="864" ht="15.75" customHeight="1">
      <c r="A864" s="120"/>
      <c r="N864" s="121"/>
    </row>
    <row r="865" ht="15.75" customHeight="1">
      <c r="A865" s="120"/>
      <c r="N865" s="121"/>
    </row>
    <row r="866" ht="15.75" customHeight="1">
      <c r="A866" s="120"/>
      <c r="N866" s="121"/>
    </row>
    <row r="867" ht="15.75" customHeight="1">
      <c r="A867" s="120"/>
      <c r="N867" s="121"/>
    </row>
    <row r="868" ht="15.75" customHeight="1">
      <c r="A868" s="120"/>
      <c r="N868" s="121"/>
    </row>
    <row r="869" ht="15.75" customHeight="1">
      <c r="A869" s="120"/>
      <c r="N869" s="121"/>
    </row>
    <row r="870" ht="15.75" customHeight="1">
      <c r="A870" s="120"/>
      <c r="N870" s="121"/>
    </row>
    <row r="871" ht="15.75" customHeight="1">
      <c r="A871" s="120"/>
      <c r="N871" s="121"/>
    </row>
    <row r="872" ht="15.75" customHeight="1">
      <c r="A872" s="120"/>
      <c r="N872" s="121"/>
    </row>
    <row r="873" ht="15.75" customHeight="1">
      <c r="A873" s="120"/>
      <c r="N873" s="121"/>
    </row>
    <row r="874" ht="15.75" customHeight="1">
      <c r="A874" s="120"/>
      <c r="N874" s="121"/>
    </row>
    <row r="875" ht="15.75" customHeight="1">
      <c r="A875" s="120"/>
      <c r="N875" s="121"/>
    </row>
    <row r="876" ht="15.75" customHeight="1">
      <c r="A876" s="120"/>
      <c r="N876" s="121"/>
    </row>
    <row r="877" ht="15.75" customHeight="1">
      <c r="A877" s="120"/>
      <c r="N877" s="121"/>
    </row>
    <row r="878" ht="15.75" customHeight="1">
      <c r="A878" s="120"/>
      <c r="N878" s="121"/>
    </row>
    <row r="879" ht="15.75" customHeight="1">
      <c r="A879" s="120"/>
      <c r="N879" s="121"/>
    </row>
    <row r="880" ht="15.75" customHeight="1">
      <c r="A880" s="120"/>
      <c r="N880" s="121"/>
    </row>
    <row r="881" ht="15.75" customHeight="1">
      <c r="A881" s="120"/>
      <c r="N881" s="121"/>
    </row>
    <row r="882" ht="15.75" customHeight="1">
      <c r="A882" s="120"/>
      <c r="N882" s="121"/>
    </row>
    <row r="883" ht="15.75" customHeight="1">
      <c r="A883" s="120"/>
      <c r="N883" s="121"/>
    </row>
    <row r="884" ht="15.75" customHeight="1">
      <c r="A884" s="120"/>
      <c r="N884" s="121"/>
    </row>
    <row r="885" ht="15.75" customHeight="1">
      <c r="A885" s="120"/>
      <c r="N885" s="121"/>
    </row>
    <row r="886" ht="15.75" customHeight="1">
      <c r="A886" s="120"/>
      <c r="N886" s="121"/>
    </row>
    <row r="887" ht="15.75" customHeight="1">
      <c r="A887" s="120"/>
      <c r="N887" s="121"/>
    </row>
    <row r="888" ht="15.75" customHeight="1">
      <c r="A888" s="120"/>
      <c r="N888" s="121"/>
    </row>
    <row r="889" ht="15.75" customHeight="1">
      <c r="A889" s="120"/>
      <c r="N889" s="121"/>
    </row>
    <row r="890" ht="15.75" customHeight="1">
      <c r="A890" s="120"/>
      <c r="N890" s="121"/>
    </row>
    <row r="891" ht="15.75" customHeight="1">
      <c r="A891" s="120"/>
      <c r="N891" s="121"/>
    </row>
    <row r="892" ht="15.75" customHeight="1">
      <c r="A892" s="120"/>
      <c r="N892" s="121"/>
    </row>
    <row r="893" ht="15.75" customHeight="1">
      <c r="A893" s="120"/>
      <c r="N893" s="121"/>
    </row>
    <row r="894" ht="15.75" customHeight="1">
      <c r="A894" s="120"/>
      <c r="N894" s="121"/>
    </row>
    <row r="895" ht="15.75" customHeight="1">
      <c r="A895" s="120"/>
      <c r="N895" s="121"/>
    </row>
    <row r="896" ht="15.75" customHeight="1">
      <c r="A896" s="120"/>
      <c r="N896" s="121"/>
    </row>
    <row r="897" ht="15.75" customHeight="1">
      <c r="A897" s="120"/>
      <c r="N897" s="121"/>
    </row>
    <row r="898" ht="15.75" customHeight="1">
      <c r="A898" s="120"/>
      <c r="N898" s="121"/>
    </row>
    <row r="899" ht="15.75" customHeight="1">
      <c r="A899" s="120"/>
      <c r="N899" s="121"/>
    </row>
    <row r="900" ht="15.75" customHeight="1">
      <c r="A900" s="120"/>
      <c r="N900" s="121"/>
    </row>
    <row r="901" ht="15.75" customHeight="1">
      <c r="A901" s="120"/>
      <c r="N901" s="121"/>
    </row>
    <row r="902" ht="15.75" customHeight="1">
      <c r="A902" s="120"/>
      <c r="N902" s="121"/>
    </row>
    <row r="903" ht="15.75" customHeight="1">
      <c r="A903" s="120"/>
      <c r="N903" s="121"/>
    </row>
    <row r="904" ht="15.75" customHeight="1">
      <c r="A904" s="120"/>
      <c r="N904" s="121"/>
    </row>
    <row r="905" ht="15.75" customHeight="1">
      <c r="A905" s="120"/>
      <c r="N905" s="121"/>
    </row>
    <row r="906" ht="15.75" customHeight="1">
      <c r="A906" s="120"/>
      <c r="N906" s="121"/>
    </row>
    <row r="907" ht="15.75" customHeight="1">
      <c r="A907" s="120"/>
      <c r="N907" s="121"/>
    </row>
    <row r="908" ht="15.75" customHeight="1">
      <c r="A908" s="120"/>
      <c r="N908" s="121"/>
    </row>
    <row r="909" ht="15.75" customHeight="1">
      <c r="A909" s="120"/>
      <c r="N909" s="121"/>
    </row>
    <row r="910" ht="15.75" customHeight="1">
      <c r="A910" s="120"/>
      <c r="N910" s="121"/>
    </row>
    <row r="911" ht="15.75" customHeight="1">
      <c r="A911" s="120"/>
      <c r="N911" s="121"/>
    </row>
    <row r="912" ht="15.75" customHeight="1">
      <c r="A912" s="120"/>
      <c r="N912" s="121"/>
    </row>
    <row r="913" ht="15.75" customHeight="1">
      <c r="A913" s="120"/>
      <c r="N913" s="121"/>
    </row>
    <row r="914" ht="15.75" customHeight="1">
      <c r="A914" s="120"/>
      <c r="N914" s="121"/>
    </row>
    <row r="915" ht="15.75" customHeight="1">
      <c r="A915" s="120"/>
      <c r="N915" s="121"/>
    </row>
    <row r="916" ht="15.75" customHeight="1">
      <c r="A916" s="120"/>
      <c r="N916" s="121"/>
    </row>
    <row r="917" ht="15.75" customHeight="1">
      <c r="A917" s="120"/>
      <c r="N917" s="121"/>
    </row>
    <row r="918" ht="15.75" customHeight="1">
      <c r="A918" s="120"/>
      <c r="N918" s="121"/>
    </row>
    <row r="919" ht="15.75" customHeight="1">
      <c r="A919" s="120"/>
      <c r="N919" s="121"/>
    </row>
    <row r="920" ht="15.75" customHeight="1">
      <c r="A920" s="120"/>
      <c r="N920" s="121"/>
    </row>
    <row r="921" ht="15.75" customHeight="1">
      <c r="A921" s="120"/>
      <c r="N921" s="121"/>
    </row>
    <row r="922" ht="15.75" customHeight="1">
      <c r="A922" s="120"/>
      <c r="N922" s="121"/>
    </row>
    <row r="923" ht="15.75" customHeight="1">
      <c r="A923" s="120"/>
      <c r="N923" s="121"/>
    </row>
    <row r="924" ht="15.75" customHeight="1">
      <c r="A924" s="120"/>
      <c r="N924" s="121"/>
    </row>
    <row r="925" ht="15.75" customHeight="1">
      <c r="A925" s="120"/>
      <c r="N925" s="121"/>
    </row>
    <row r="926" ht="15.75" customHeight="1">
      <c r="A926" s="120"/>
      <c r="N926" s="121"/>
    </row>
    <row r="927" ht="15.75" customHeight="1">
      <c r="A927" s="120"/>
      <c r="N927" s="121"/>
    </row>
    <row r="928" ht="15.75" customHeight="1">
      <c r="A928" s="120"/>
      <c r="N928" s="121"/>
    </row>
    <row r="929" ht="15.75" customHeight="1">
      <c r="A929" s="120"/>
      <c r="N929" s="121"/>
    </row>
    <row r="930" ht="15.75" customHeight="1">
      <c r="A930" s="120"/>
      <c r="N930" s="121"/>
    </row>
    <row r="931" ht="15.75" customHeight="1">
      <c r="A931" s="120"/>
      <c r="N931" s="121"/>
    </row>
    <row r="932" ht="15.75" customHeight="1">
      <c r="A932" s="120"/>
      <c r="N932" s="121"/>
    </row>
    <row r="933" ht="15.75" customHeight="1">
      <c r="A933" s="120"/>
      <c r="N933" s="121"/>
    </row>
    <row r="934" ht="15.75" customHeight="1">
      <c r="A934" s="120"/>
      <c r="N934" s="121"/>
    </row>
    <row r="935" ht="15.75" customHeight="1">
      <c r="A935" s="120"/>
      <c r="N935" s="121"/>
    </row>
    <row r="936" ht="15.75" customHeight="1">
      <c r="A936" s="120"/>
      <c r="N936" s="121"/>
    </row>
    <row r="937" ht="15.75" customHeight="1">
      <c r="A937" s="120"/>
      <c r="N937" s="121"/>
    </row>
    <row r="938" ht="15.75" customHeight="1">
      <c r="A938" s="120"/>
      <c r="N938" s="121"/>
    </row>
    <row r="939" ht="15.75" customHeight="1">
      <c r="A939" s="120"/>
      <c r="N939" s="121"/>
    </row>
    <row r="940" ht="15.75" customHeight="1">
      <c r="A940" s="120"/>
      <c r="N940" s="121"/>
    </row>
    <row r="941" ht="15.75" customHeight="1">
      <c r="A941" s="120"/>
      <c r="N941" s="121"/>
    </row>
    <row r="942" ht="15.75" customHeight="1">
      <c r="A942" s="120"/>
      <c r="N942" s="121"/>
    </row>
    <row r="943" ht="15.75" customHeight="1">
      <c r="A943" s="120"/>
      <c r="N943" s="121"/>
    </row>
    <row r="944" ht="15.75" customHeight="1">
      <c r="A944" s="120"/>
      <c r="N944" s="121"/>
    </row>
    <row r="945" ht="15.75" customHeight="1">
      <c r="A945" s="120"/>
      <c r="N945" s="121"/>
    </row>
    <row r="946" ht="15.75" customHeight="1">
      <c r="A946" s="120"/>
      <c r="N946" s="121"/>
    </row>
    <row r="947" ht="15.75" customHeight="1">
      <c r="A947" s="120"/>
      <c r="N947" s="121"/>
    </row>
    <row r="948" ht="15.75" customHeight="1">
      <c r="A948" s="120"/>
      <c r="N948" s="121"/>
    </row>
    <row r="949" ht="15.75" customHeight="1">
      <c r="A949" s="120"/>
      <c r="N949" s="121"/>
    </row>
    <row r="950" ht="15.75" customHeight="1">
      <c r="A950" s="120"/>
      <c r="N950" s="121"/>
    </row>
    <row r="951" ht="15.75" customHeight="1">
      <c r="A951" s="120"/>
      <c r="N951" s="121"/>
    </row>
    <row r="952" ht="15.75" customHeight="1">
      <c r="A952" s="120"/>
      <c r="N952" s="121"/>
    </row>
    <row r="953" ht="15.75" customHeight="1">
      <c r="A953" s="120"/>
      <c r="N953" s="121"/>
    </row>
    <row r="954" ht="15.75" customHeight="1">
      <c r="A954" s="120"/>
      <c r="N954" s="121"/>
    </row>
    <row r="955" ht="15.75" customHeight="1">
      <c r="A955" s="120"/>
      <c r="N955" s="121"/>
    </row>
    <row r="956" ht="15.75" customHeight="1">
      <c r="A956" s="120"/>
      <c r="N956" s="121"/>
    </row>
    <row r="957" ht="15.75" customHeight="1">
      <c r="A957" s="120"/>
      <c r="N957" s="121"/>
    </row>
    <row r="958" ht="15.75" customHeight="1">
      <c r="A958" s="120"/>
      <c r="N958" s="121"/>
    </row>
    <row r="959" ht="15.75" customHeight="1">
      <c r="A959" s="120"/>
      <c r="N959" s="121"/>
    </row>
    <row r="960" ht="15.75" customHeight="1">
      <c r="A960" s="120"/>
      <c r="N960" s="121"/>
    </row>
    <row r="961" ht="15.75" customHeight="1">
      <c r="A961" s="120"/>
      <c r="N961" s="121"/>
    </row>
    <row r="962" ht="15.75" customHeight="1">
      <c r="A962" s="120"/>
      <c r="N962" s="121"/>
    </row>
    <row r="963" ht="15.75" customHeight="1">
      <c r="A963" s="120"/>
      <c r="N963" s="121"/>
    </row>
    <row r="964" ht="15.75" customHeight="1">
      <c r="A964" s="120"/>
      <c r="N964" s="121"/>
    </row>
    <row r="965" ht="15.75" customHeight="1">
      <c r="A965" s="120"/>
      <c r="N965" s="121"/>
    </row>
    <row r="966" ht="15.75" customHeight="1">
      <c r="A966" s="120"/>
      <c r="N966" s="121"/>
    </row>
    <row r="967" ht="15.75" customHeight="1">
      <c r="A967" s="120"/>
      <c r="N967" s="121"/>
    </row>
    <row r="968" ht="15.75" customHeight="1">
      <c r="A968" s="120"/>
      <c r="N968" s="121"/>
    </row>
    <row r="969" ht="15.75" customHeight="1">
      <c r="A969" s="120"/>
      <c r="N969" s="121"/>
    </row>
    <row r="970" ht="15.75" customHeight="1">
      <c r="A970" s="120"/>
      <c r="N970" s="121"/>
    </row>
    <row r="971" ht="15.75" customHeight="1">
      <c r="A971" s="120"/>
      <c r="N971" s="121"/>
    </row>
    <row r="972" ht="15.75" customHeight="1">
      <c r="A972" s="120"/>
      <c r="N972" s="121"/>
    </row>
    <row r="973" ht="15.75" customHeight="1">
      <c r="A973" s="120"/>
      <c r="N973" s="121"/>
    </row>
    <row r="974" ht="15.75" customHeight="1">
      <c r="A974" s="120"/>
      <c r="N974" s="121"/>
    </row>
    <row r="975" ht="15.75" customHeight="1">
      <c r="A975" s="120"/>
      <c r="N975" s="121"/>
    </row>
    <row r="976" ht="15.75" customHeight="1">
      <c r="A976" s="120"/>
      <c r="N976" s="121"/>
    </row>
    <row r="977" ht="15.75" customHeight="1">
      <c r="A977" s="120"/>
      <c r="N977" s="121"/>
    </row>
    <row r="978" ht="15.75" customHeight="1">
      <c r="A978" s="120"/>
      <c r="N978" s="121"/>
    </row>
    <row r="979" ht="15.75" customHeight="1">
      <c r="A979" s="120"/>
      <c r="N979" s="121"/>
    </row>
    <row r="980" ht="15.75" customHeight="1">
      <c r="A980" s="120"/>
      <c r="N980" s="121"/>
    </row>
    <row r="981" ht="15.75" customHeight="1">
      <c r="A981" s="120"/>
      <c r="N981" s="121"/>
    </row>
    <row r="982" ht="15.75" customHeight="1">
      <c r="A982" s="120"/>
      <c r="N982" s="121"/>
    </row>
    <row r="983" ht="15.75" customHeight="1">
      <c r="A983" s="120"/>
      <c r="N983" s="121"/>
    </row>
    <row r="984" ht="15.75" customHeight="1">
      <c r="A984" s="120"/>
      <c r="N984" s="121"/>
    </row>
    <row r="985" ht="15.75" customHeight="1">
      <c r="A985" s="120"/>
      <c r="N985" s="121"/>
    </row>
    <row r="986" ht="15.75" customHeight="1">
      <c r="A986" s="120"/>
      <c r="N986" s="121"/>
    </row>
    <row r="987" ht="15.75" customHeight="1">
      <c r="A987" s="120"/>
      <c r="N987" s="121"/>
    </row>
    <row r="988" ht="15.75" customHeight="1">
      <c r="A988" s="120"/>
      <c r="N988" s="121"/>
    </row>
    <row r="989" ht="15.75" customHeight="1">
      <c r="A989" s="120"/>
      <c r="N989" s="121"/>
    </row>
    <row r="990" ht="15.75" customHeight="1">
      <c r="A990" s="120"/>
      <c r="N990" s="121"/>
    </row>
    <row r="991" ht="15.75" customHeight="1">
      <c r="A991" s="120"/>
      <c r="N991" s="121"/>
    </row>
    <row r="992" ht="15.75" customHeight="1">
      <c r="A992" s="120"/>
      <c r="N992" s="121"/>
    </row>
    <row r="993" ht="15.75" customHeight="1">
      <c r="A993" s="120"/>
      <c r="N993" s="121"/>
    </row>
    <row r="994" ht="15.75" customHeight="1">
      <c r="A994" s="120"/>
      <c r="N994" s="121"/>
    </row>
    <row r="995" ht="15.75" customHeight="1">
      <c r="A995" s="120"/>
      <c r="N995" s="121"/>
    </row>
    <row r="996" ht="15.75" customHeight="1">
      <c r="A996" s="120"/>
      <c r="N996" s="121"/>
    </row>
    <row r="997" ht="15.75" customHeight="1">
      <c r="A997" s="120"/>
      <c r="N997" s="121"/>
    </row>
    <row r="998" ht="15.75" customHeight="1">
      <c r="A998" s="120"/>
      <c r="N998" s="121"/>
    </row>
    <row r="999" ht="15.75" customHeight="1">
      <c r="A999" s="120"/>
      <c r="N999" s="121"/>
    </row>
    <row r="1000" ht="15.75" customHeight="1">
      <c r="A1000" s="120"/>
      <c r="N1000" s="121"/>
    </row>
    <row r="1001" ht="15.75" customHeight="1">
      <c r="A1001" s="120"/>
      <c r="N1001" s="121"/>
    </row>
    <row r="1002" ht="15.75" customHeight="1">
      <c r="A1002" s="120"/>
      <c r="N1002" s="121"/>
    </row>
    <row r="1003" ht="15.75" customHeight="1">
      <c r="A1003" s="120"/>
      <c r="N1003" s="121"/>
    </row>
    <row r="1004" ht="15.75" customHeight="1">
      <c r="A1004" s="120"/>
      <c r="N1004" s="121"/>
    </row>
    <row r="1005" ht="15.75" customHeight="1">
      <c r="A1005" s="120"/>
      <c r="N1005" s="121"/>
    </row>
    <row r="1006" ht="15.75" customHeight="1">
      <c r="A1006" s="120"/>
      <c r="N1006" s="121"/>
    </row>
    <row r="1007" ht="15.75" customHeight="1">
      <c r="A1007" s="120"/>
      <c r="N1007" s="121"/>
    </row>
    <row r="1008" ht="15.75" customHeight="1">
      <c r="A1008" s="120"/>
      <c r="N1008" s="121"/>
    </row>
    <row r="1009" ht="15.75" customHeight="1">
      <c r="A1009" s="120"/>
      <c r="N1009" s="121"/>
    </row>
    <row r="1010" ht="15.75" customHeight="1">
      <c r="A1010" s="120"/>
      <c r="N1010" s="121"/>
    </row>
    <row r="1011" ht="15.75" customHeight="1">
      <c r="A1011" s="120"/>
      <c r="N1011" s="121"/>
    </row>
    <row r="1012" ht="15.75" customHeight="1">
      <c r="A1012" s="120"/>
      <c r="N1012" s="121"/>
    </row>
    <row r="1013" ht="15.75" customHeight="1">
      <c r="A1013" s="120"/>
      <c r="N1013" s="121"/>
    </row>
    <row r="1014" ht="15.75" customHeight="1">
      <c r="A1014" s="120"/>
      <c r="N1014" s="121"/>
    </row>
    <row r="1015" ht="15.75" customHeight="1">
      <c r="A1015" s="120"/>
      <c r="N1015" s="121"/>
    </row>
    <row r="1016" ht="15.75" customHeight="1">
      <c r="A1016" s="120"/>
      <c r="N1016" s="121"/>
    </row>
    <row r="1017" ht="15.75" customHeight="1">
      <c r="A1017" s="120"/>
      <c r="N1017" s="121"/>
    </row>
    <row r="1018" ht="15.75" customHeight="1">
      <c r="A1018" s="120"/>
      <c r="N1018" s="121"/>
    </row>
    <row r="1019" ht="15.75" customHeight="1">
      <c r="A1019" s="120"/>
      <c r="N1019" s="121"/>
    </row>
    <row r="1020" ht="15.75" customHeight="1">
      <c r="A1020" s="120"/>
      <c r="N1020" s="121"/>
    </row>
    <row r="1021" ht="15.75" customHeight="1">
      <c r="A1021" s="120"/>
      <c r="N1021" s="121"/>
    </row>
    <row r="1022" ht="15.75" customHeight="1">
      <c r="A1022" s="120"/>
      <c r="N1022" s="121"/>
    </row>
    <row r="1023" ht="15.75" customHeight="1">
      <c r="A1023" s="120"/>
      <c r="N1023" s="121"/>
    </row>
    <row r="1024" ht="15.75" customHeight="1">
      <c r="A1024" s="120"/>
      <c r="N1024" s="121"/>
    </row>
    <row r="1025" ht="15.75" customHeight="1">
      <c r="A1025" s="120"/>
      <c r="N1025" s="121"/>
    </row>
    <row r="1026" ht="15.75" customHeight="1">
      <c r="A1026" s="120"/>
      <c r="N1026" s="121"/>
    </row>
    <row r="1027" ht="15.75" customHeight="1">
      <c r="A1027" s="120"/>
      <c r="N1027" s="121"/>
    </row>
    <row r="1028" ht="15.75" customHeight="1">
      <c r="A1028" s="120"/>
      <c r="N1028" s="121"/>
    </row>
    <row r="1029" ht="15.75" customHeight="1">
      <c r="A1029" s="120"/>
      <c r="N1029" s="121"/>
    </row>
    <row r="1030" ht="15.75" customHeight="1">
      <c r="A1030" s="120"/>
      <c r="N1030" s="121"/>
    </row>
    <row r="1031" ht="15.75" customHeight="1">
      <c r="A1031" s="120"/>
      <c r="N1031" s="121"/>
    </row>
    <row r="1032" ht="15.75" customHeight="1">
      <c r="A1032" s="120"/>
      <c r="N1032" s="121"/>
    </row>
    <row r="1033" ht="15.75" customHeight="1">
      <c r="A1033" s="120"/>
      <c r="N1033" s="121"/>
    </row>
    <row r="1034" ht="15.75" customHeight="1">
      <c r="A1034" s="120"/>
      <c r="N1034" s="121"/>
    </row>
    <row r="1035" ht="15.75" customHeight="1">
      <c r="A1035" s="120"/>
      <c r="N1035" s="121"/>
    </row>
    <row r="1036" ht="15.75" customHeight="1">
      <c r="A1036" s="120"/>
      <c r="N1036" s="121"/>
    </row>
    <row r="1037" ht="15.75" customHeight="1">
      <c r="A1037" s="120"/>
      <c r="N1037" s="121"/>
    </row>
    <row r="1038" ht="15.75" customHeight="1">
      <c r="A1038" s="120"/>
      <c r="N1038" s="121"/>
    </row>
    <row r="1039" ht="15.75" customHeight="1">
      <c r="A1039" s="120"/>
      <c r="N1039" s="121"/>
    </row>
    <row r="1040" ht="15.75" customHeight="1">
      <c r="A1040" s="120"/>
      <c r="N1040" s="121"/>
    </row>
    <row r="1041" ht="15.75" customHeight="1">
      <c r="A1041" s="120"/>
      <c r="N1041" s="121"/>
    </row>
    <row r="1042" ht="15.75" customHeight="1">
      <c r="A1042" s="120"/>
      <c r="N1042" s="121"/>
    </row>
    <row r="1043" ht="15.75" customHeight="1">
      <c r="A1043" s="120"/>
      <c r="N1043" s="121"/>
    </row>
    <row r="1044" ht="15.75" customHeight="1">
      <c r="A1044" s="120"/>
      <c r="N1044" s="121"/>
    </row>
    <row r="1045" ht="15.75" customHeight="1">
      <c r="A1045" s="120"/>
      <c r="N1045" s="121"/>
    </row>
    <row r="1046" ht="15.75" customHeight="1">
      <c r="A1046" s="120"/>
      <c r="N1046" s="121"/>
    </row>
    <row r="1047" ht="15.75" customHeight="1">
      <c r="A1047" s="120"/>
      <c r="N1047" s="121"/>
    </row>
    <row r="1048" ht="15.75" customHeight="1">
      <c r="A1048" s="120"/>
      <c r="N1048" s="121"/>
    </row>
    <row r="1049" ht="15.75" customHeight="1">
      <c r="A1049" s="120"/>
      <c r="N1049" s="121"/>
    </row>
    <row r="1050" ht="15.75" customHeight="1">
      <c r="A1050" s="120"/>
      <c r="N1050" s="121"/>
    </row>
    <row r="1051" ht="15.75" customHeight="1">
      <c r="A1051" s="120"/>
      <c r="N1051" s="121"/>
    </row>
    <row r="1052" ht="15.75" customHeight="1">
      <c r="A1052" s="120"/>
      <c r="N1052" s="121"/>
    </row>
    <row r="1053" ht="15.75" customHeight="1">
      <c r="A1053" s="120"/>
      <c r="N1053" s="121"/>
    </row>
    <row r="1054" ht="15.75" customHeight="1">
      <c r="A1054" s="120"/>
      <c r="N1054" s="121"/>
    </row>
    <row r="1055" ht="15.75" customHeight="1">
      <c r="A1055" s="120"/>
      <c r="N1055" s="121"/>
    </row>
    <row r="1056" ht="15.75" customHeight="1">
      <c r="A1056" s="120"/>
      <c r="N1056" s="121"/>
    </row>
    <row r="1057" ht="15.75" customHeight="1">
      <c r="A1057" s="120"/>
      <c r="N1057" s="121"/>
    </row>
    <row r="1058" ht="15.75" customHeight="1">
      <c r="A1058" s="120"/>
      <c r="N1058" s="121"/>
    </row>
    <row r="1059" ht="15.75" customHeight="1">
      <c r="A1059" s="120"/>
      <c r="N1059" s="121"/>
    </row>
    <row r="1060" ht="15.75" customHeight="1">
      <c r="A1060" s="120"/>
      <c r="N1060" s="121"/>
    </row>
    <row r="1061" ht="15.75" customHeight="1">
      <c r="A1061" s="120"/>
      <c r="N1061" s="121"/>
    </row>
    <row r="1062" ht="15.75" customHeight="1">
      <c r="A1062" s="120"/>
      <c r="N1062" s="121"/>
    </row>
    <row r="1063" ht="15.75" customHeight="1">
      <c r="A1063" s="120"/>
      <c r="N1063" s="121"/>
    </row>
    <row r="1064" ht="15.75" customHeight="1">
      <c r="A1064" s="120"/>
      <c r="N1064" s="121"/>
    </row>
    <row r="1065" ht="15.75" customHeight="1">
      <c r="A1065" s="120"/>
      <c r="N1065" s="121"/>
    </row>
    <row r="1066" ht="15.75" customHeight="1">
      <c r="A1066" s="120"/>
      <c r="N1066" s="121"/>
    </row>
    <row r="1067" ht="15.75" customHeight="1">
      <c r="A1067" s="120"/>
      <c r="N1067" s="121"/>
    </row>
    <row r="1068" ht="15.75" customHeight="1">
      <c r="A1068" s="120"/>
      <c r="N1068" s="121"/>
    </row>
    <row r="1069" ht="15.75" customHeight="1">
      <c r="A1069" s="120"/>
      <c r="N1069" s="121"/>
    </row>
    <row r="1070" ht="15.75" customHeight="1">
      <c r="A1070" s="120"/>
      <c r="N1070" s="121"/>
    </row>
    <row r="1071" ht="15.75" customHeight="1">
      <c r="A1071" s="120"/>
      <c r="N1071" s="121"/>
    </row>
    <row r="1072" ht="15.75" customHeight="1">
      <c r="A1072" s="120"/>
      <c r="N1072" s="121"/>
    </row>
    <row r="1073" ht="15.75" customHeight="1">
      <c r="A1073" s="120"/>
      <c r="N1073" s="121"/>
    </row>
    <row r="1074" ht="15.75" customHeight="1">
      <c r="A1074" s="120"/>
      <c r="N1074" s="121"/>
    </row>
    <row r="1075" ht="15.75" customHeight="1">
      <c r="A1075" s="120"/>
      <c r="N1075" s="121"/>
    </row>
    <row r="1076" ht="15.75" customHeight="1">
      <c r="A1076" s="120"/>
      <c r="N1076" s="121"/>
    </row>
    <row r="1077" ht="15.75" customHeight="1">
      <c r="A1077" s="120"/>
      <c r="N1077" s="121"/>
    </row>
    <row r="1078" ht="15.75" customHeight="1">
      <c r="A1078" s="120"/>
      <c r="N1078" s="121"/>
    </row>
    <row r="1079" ht="15.75" customHeight="1">
      <c r="A1079" s="120"/>
      <c r="N1079" s="121"/>
    </row>
    <row r="1080" ht="15.75" customHeight="1">
      <c r="A1080" s="120"/>
      <c r="N1080" s="121"/>
    </row>
    <row r="1081" ht="15.75" customHeight="1">
      <c r="A1081" s="120"/>
      <c r="N1081" s="121"/>
    </row>
    <row r="1082" ht="15.75" customHeight="1">
      <c r="A1082" s="120"/>
      <c r="N1082" s="121"/>
    </row>
    <row r="1083" ht="15.75" customHeight="1">
      <c r="A1083" s="120"/>
      <c r="N1083" s="121"/>
    </row>
    <row r="1084" ht="15.75" customHeight="1">
      <c r="A1084" s="120"/>
      <c r="N1084" s="121"/>
    </row>
    <row r="1085" ht="15.75" customHeight="1">
      <c r="A1085" s="120"/>
      <c r="N1085" s="121"/>
    </row>
    <row r="1086" ht="15.75" customHeight="1">
      <c r="A1086" s="120"/>
      <c r="N1086" s="121"/>
    </row>
    <row r="1087" ht="15.75" customHeight="1">
      <c r="A1087" s="120"/>
      <c r="N1087" s="121"/>
    </row>
    <row r="1088" ht="15.75" customHeight="1">
      <c r="A1088" s="120"/>
      <c r="N1088" s="121"/>
    </row>
    <row r="1089" ht="15.75" customHeight="1">
      <c r="A1089" s="120"/>
      <c r="N1089" s="121"/>
    </row>
    <row r="1090" ht="15.75" customHeight="1">
      <c r="A1090" s="120"/>
      <c r="N1090" s="121"/>
    </row>
    <row r="1091" ht="15.75" customHeight="1">
      <c r="A1091" s="120"/>
      <c r="N1091" s="121"/>
    </row>
    <row r="1092" ht="15.75" customHeight="1">
      <c r="A1092" s="120"/>
      <c r="N1092" s="121"/>
    </row>
    <row r="1093" ht="15.75" customHeight="1">
      <c r="A1093" s="120"/>
      <c r="N1093" s="121"/>
    </row>
    <row r="1094" ht="15.75" customHeight="1">
      <c r="A1094" s="120"/>
      <c r="N1094" s="121"/>
    </row>
    <row r="1095" ht="15.75" customHeight="1">
      <c r="A1095" s="120"/>
      <c r="N1095" s="121"/>
    </row>
    <row r="1096" ht="15.75" customHeight="1">
      <c r="A1096" s="120"/>
      <c r="N1096" s="121"/>
    </row>
    <row r="1097" ht="15.75" customHeight="1">
      <c r="A1097" s="120"/>
      <c r="N1097" s="121"/>
    </row>
    <row r="1098" ht="15.75" customHeight="1">
      <c r="A1098" s="120"/>
      <c r="N1098" s="121"/>
    </row>
    <row r="1099" ht="15.75" customHeight="1">
      <c r="A1099" s="120"/>
      <c r="N1099" s="121"/>
    </row>
    <row r="1100" ht="15.75" customHeight="1">
      <c r="A1100" s="120"/>
      <c r="N1100" s="121"/>
    </row>
    <row r="1101" ht="15.75" customHeight="1">
      <c r="A1101" s="120"/>
      <c r="N1101" s="121"/>
    </row>
    <row r="1102" ht="15.75" customHeight="1">
      <c r="A1102" s="120"/>
      <c r="N1102" s="121"/>
    </row>
    <row r="1103" ht="15.75" customHeight="1">
      <c r="A1103" s="120"/>
      <c r="N1103" s="121"/>
    </row>
    <row r="1104" ht="15.75" customHeight="1">
      <c r="A1104" s="120"/>
      <c r="N1104" s="121"/>
    </row>
    <row r="1105" ht="15.75" customHeight="1">
      <c r="A1105" s="120"/>
      <c r="N1105" s="121"/>
    </row>
    <row r="1106" ht="15.75" customHeight="1">
      <c r="A1106" s="120"/>
      <c r="N1106" s="121"/>
    </row>
    <row r="1107" ht="15.75" customHeight="1">
      <c r="A1107" s="120"/>
      <c r="N1107" s="121"/>
    </row>
    <row r="1108" ht="15.75" customHeight="1">
      <c r="A1108" s="120"/>
      <c r="N1108" s="121"/>
    </row>
    <row r="1109" ht="15.75" customHeight="1">
      <c r="A1109" s="120"/>
      <c r="N1109" s="121"/>
    </row>
    <row r="1110" ht="15.75" customHeight="1">
      <c r="A1110" s="120"/>
      <c r="N1110" s="121"/>
    </row>
    <row r="1111" ht="15.75" customHeight="1">
      <c r="A1111" s="120"/>
      <c r="N1111" s="121"/>
    </row>
    <row r="1112" ht="15.75" customHeight="1">
      <c r="A1112" s="120"/>
      <c r="N1112" s="121"/>
    </row>
    <row r="1113" ht="15.75" customHeight="1">
      <c r="A1113" s="120"/>
      <c r="N1113" s="121"/>
    </row>
    <row r="1114" ht="15.75" customHeight="1">
      <c r="A1114" s="120"/>
      <c r="N1114" s="121"/>
    </row>
    <row r="1115" ht="15.75" customHeight="1">
      <c r="A1115" s="120"/>
      <c r="N1115" s="121"/>
    </row>
    <row r="1116" ht="15.75" customHeight="1">
      <c r="A1116" s="120"/>
      <c r="N1116" s="121"/>
    </row>
    <row r="1117" ht="15.75" customHeight="1">
      <c r="A1117" s="120"/>
      <c r="N1117" s="121"/>
    </row>
    <row r="1118" ht="15.75" customHeight="1">
      <c r="A1118" s="120"/>
      <c r="N1118" s="121"/>
    </row>
    <row r="1119" ht="15.75" customHeight="1">
      <c r="A1119" s="120"/>
      <c r="N1119" s="121"/>
    </row>
    <row r="1120" ht="15.75" customHeight="1">
      <c r="A1120" s="120"/>
      <c r="N1120" s="121"/>
    </row>
    <row r="1121" ht="15.75" customHeight="1">
      <c r="A1121" s="120"/>
      <c r="N1121" s="121"/>
    </row>
    <row r="1122" ht="15.75" customHeight="1">
      <c r="A1122" s="120"/>
      <c r="N1122" s="121"/>
    </row>
    <row r="1123" ht="15.75" customHeight="1">
      <c r="A1123" s="120"/>
      <c r="N1123" s="121"/>
    </row>
    <row r="1124" ht="15.75" customHeight="1">
      <c r="A1124" s="120"/>
      <c r="N1124" s="121"/>
    </row>
    <row r="1125" ht="15.75" customHeight="1">
      <c r="A1125" s="120"/>
      <c r="N1125" s="121"/>
    </row>
    <row r="1126" ht="15.75" customHeight="1">
      <c r="A1126" s="120"/>
      <c r="N1126" s="121"/>
    </row>
    <row r="1127" ht="15.75" customHeight="1">
      <c r="A1127" s="120"/>
      <c r="N1127" s="121"/>
    </row>
    <row r="1128" ht="15.75" customHeight="1">
      <c r="A1128" s="120"/>
      <c r="N1128" s="121"/>
    </row>
    <row r="1129" ht="15.75" customHeight="1">
      <c r="A1129" s="120"/>
      <c r="N1129" s="121"/>
    </row>
    <row r="1130" ht="15.75" customHeight="1">
      <c r="A1130" s="120"/>
      <c r="N1130" s="121"/>
    </row>
    <row r="1131" ht="15.75" customHeight="1">
      <c r="A1131" s="120"/>
      <c r="N1131" s="121"/>
    </row>
    <row r="1132" ht="15.75" customHeight="1">
      <c r="A1132" s="120"/>
      <c r="N1132" s="121"/>
    </row>
    <row r="1133" ht="15.75" customHeight="1">
      <c r="A1133" s="120"/>
      <c r="N1133" s="121"/>
    </row>
    <row r="1134" ht="15.75" customHeight="1">
      <c r="A1134" s="120"/>
      <c r="N1134" s="121"/>
    </row>
    <row r="1135" ht="15.75" customHeight="1">
      <c r="A1135" s="120"/>
      <c r="N1135" s="121"/>
    </row>
    <row r="1136" ht="15.75" customHeight="1">
      <c r="A1136" s="120"/>
      <c r="N1136" s="121"/>
    </row>
    <row r="1137" ht="15.75" customHeight="1">
      <c r="A1137" s="120"/>
      <c r="N1137" s="121"/>
    </row>
    <row r="1138" ht="15.75" customHeight="1">
      <c r="A1138" s="120"/>
      <c r="N1138" s="121"/>
    </row>
    <row r="1139" ht="15.75" customHeight="1">
      <c r="A1139" s="120"/>
      <c r="N1139" s="121"/>
    </row>
    <row r="1140" ht="15.75" customHeight="1">
      <c r="A1140" s="120"/>
      <c r="N1140" s="121"/>
    </row>
    <row r="1141" ht="15.75" customHeight="1">
      <c r="A1141" s="120"/>
      <c r="N1141" s="121"/>
    </row>
    <row r="1142" ht="15.75" customHeight="1">
      <c r="A1142" s="120"/>
      <c r="N1142" s="121"/>
    </row>
    <row r="1143" ht="15.75" customHeight="1">
      <c r="A1143" s="120"/>
      <c r="N1143" s="121"/>
    </row>
    <row r="1144" ht="15.75" customHeight="1">
      <c r="A1144" s="120"/>
      <c r="N1144" s="121"/>
    </row>
    <row r="1145" ht="15.75" customHeight="1">
      <c r="A1145" s="120"/>
      <c r="N1145" s="121"/>
    </row>
    <row r="1146" ht="15.75" customHeight="1">
      <c r="A1146" s="120"/>
      <c r="N1146" s="121"/>
    </row>
    <row r="1147" ht="15.75" customHeight="1">
      <c r="A1147" s="120"/>
      <c r="N1147" s="121"/>
    </row>
    <row r="1148" ht="15.75" customHeight="1">
      <c r="A1148" s="120"/>
      <c r="N1148" s="121"/>
    </row>
    <row r="1149" ht="15.75" customHeight="1">
      <c r="A1149" s="120"/>
      <c r="N1149" s="121"/>
    </row>
    <row r="1150" ht="15.75" customHeight="1">
      <c r="A1150" s="120"/>
      <c r="N1150" s="121"/>
    </row>
    <row r="1151" ht="15.75" customHeight="1">
      <c r="A1151" s="120"/>
      <c r="N1151" s="121"/>
    </row>
    <row r="1152" ht="15.75" customHeight="1">
      <c r="A1152" s="120"/>
      <c r="N1152" s="121"/>
    </row>
    <row r="1153" ht="15.75" customHeight="1">
      <c r="A1153" s="120"/>
      <c r="N1153" s="121"/>
    </row>
    <row r="1154" ht="15.75" customHeight="1">
      <c r="A1154" s="120"/>
      <c r="N1154" s="121"/>
    </row>
    <row r="1155" ht="15.75" customHeight="1">
      <c r="A1155" s="120"/>
      <c r="N1155" s="121"/>
    </row>
    <row r="1156" ht="15.75" customHeight="1">
      <c r="A1156" s="120"/>
      <c r="N1156" s="121"/>
    </row>
    <row r="1157" ht="15.75" customHeight="1">
      <c r="A1157" s="120"/>
      <c r="N1157" s="121"/>
    </row>
    <row r="1158" ht="15.75" customHeight="1">
      <c r="A1158" s="120"/>
      <c r="N1158" s="121"/>
    </row>
    <row r="1159" ht="15.75" customHeight="1">
      <c r="A1159" s="120"/>
      <c r="N1159" s="121"/>
    </row>
    <row r="1160" ht="15.75" customHeight="1">
      <c r="A1160" s="120"/>
      <c r="N1160" s="121"/>
    </row>
    <row r="1161" ht="15.75" customHeight="1">
      <c r="A1161" s="120"/>
      <c r="N1161" s="121"/>
    </row>
    <row r="1162" ht="15.75" customHeight="1">
      <c r="A1162" s="120"/>
      <c r="N1162" s="121"/>
    </row>
    <row r="1163" ht="15.75" customHeight="1">
      <c r="A1163" s="120"/>
      <c r="N1163" s="121"/>
    </row>
    <row r="1164" ht="15.75" customHeight="1">
      <c r="A1164" s="120"/>
      <c r="N1164" s="121"/>
    </row>
    <row r="1165" ht="15.75" customHeight="1">
      <c r="A1165" s="120"/>
      <c r="N1165" s="121"/>
    </row>
    <row r="1166" ht="15.75" customHeight="1">
      <c r="A1166" s="120"/>
      <c r="N1166" s="121"/>
    </row>
    <row r="1167" ht="15.75" customHeight="1">
      <c r="A1167" s="120"/>
      <c r="N1167" s="121"/>
    </row>
    <row r="1168" ht="15.75" customHeight="1">
      <c r="A1168" s="120"/>
      <c r="N1168" s="121"/>
    </row>
    <row r="1169" ht="15.75" customHeight="1">
      <c r="A1169" s="120"/>
      <c r="N1169" s="121"/>
    </row>
    <row r="1170" ht="15.75" customHeight="1">
      <c r="A1170" s="120"/>
      <c r="N1170" s="121"/>
    </row>
    <row r="1171" ht="15.75" customHeight="1">
      <c r="A1171" s="120"/>
      <c r="N1171" s="121"/>
    </row>
    <row r="1172" ht="15.75" customHeight="1">
      <c r="A1172" s="120"/>
      <c r="N1172" s="121"/>
    </row>
    <row r="1173" ht="15.75" customHeight="1">
      <c r="A1173" s="120"/>
      <c r="N1173" s="121"/>
    </row>
    <row r="1174" ht="15.75" customHeight="1">
      <c r="A1174" s="120"/>
      <c r="N1174" s="121"/>
    </row>
    <row r="1175" ht="15.75" customHeight="1">
      <c r="A1175" s="120"/>
      <c r="N1175" s="121"/>
    </row>
    <row r="1176" ht="15.75" customHeight="1">
      <c r="A1176" s="120"/>
      <c r="N1176" s="121"/>
    </row>
    <row r="1177" ht="15.75" customHeight="1">
      <c r="A1177" s="120"/>
      <c r="N1177" s="121"/>
    </row>
    <row r="1178" ht="15.75" customHeight="1">
      <c r="A1178" s="120"/>
      <c r="N1178" s="121"/>
    </row>
    <row r="1179" ht="15.75" customHeight="1">
      <c r="A1179" s="120"/>
      <c r="N1179" s="121"/>
    </row>
    <row r="1180" ht="15.75" customHeight="1">
      <c r="A1180" s="120"/>
      <c r="N1180" s="121"/>
    </row>
    <row r="1181" ht="15.75" customHeight="1">
      <c r="A1181" s="120"/>
      <c r="N1181" s="121"/>
    </row>
    <row r="1182" ht="15.75" customHeight="1">
      <c r="A1182" s="120"/>
      <c r="N1182" s="121"/>
    </row>
    <row r="1183" ht="15.75" customHeight="1">
      <c r="A1183" s="120"/>
      <c r="N1183" s="121"/>
    </row>
    <row r="1184" ht="15.75" customHeight="1">
      <c r="A1184" s="120"/>
      <c r="N1184" s="121"/>
    </row>
    <row r="1185" ht="15.75" customHeight="1">
      <c r="A1185" s="120"/>
      <c r="N1185" s="121"/>
    </row>
    <row r="1186" ht="15.75" customHeight="1">
      <c r="A1186" s="120"/>
      <c r="N1186" s="121"/>
    </row>
    <row r="1187" ht="15.75" customHeight="1">
      <c r="A1187" s="120"/>
      <c r="N1187" s="121"/>
    </row>
    <row r="1188" ht="15.75" customHeight="1">
      <c r="A1188" s="120"/>
      <c r="N1188" s="121"/>
    </row>
    <row r="1189" ht="15.75" customHeight="1">
      <c r="A1189" s="120"/>
      <c r="N1189" s="121"/>
    </row>
    <row r="1190" ht="15.75" customHeight="1">
      <c r="A1190" s="120"/>
      <c r="N1190" s="121"/>
    </row>
    <row r="1191" ht="15.75" customHeight="1">
      <c r="A1191" s="120"/>
      <c r="N1191" s="121"/>
    </row>
    <row r="1192" ht="15.75" customHeight="1">
      <c r="A1192" s="120"/>
      <c r="N1192" s="121"/>
    </row>
    <row r="1193" ht="15.75" customHeight="1">
      <c r="A1193" s="120"/>
      <c r="N1193" s="121"/>
    </row>
    <row r="1194" ht="15.75" customHeight="1">
      <c r="A1194" s="120"/>
      <c r="N1194" s="121"/>
    </row>
    <row r="1195" ht="15.75" customHeight="1">
      <c r="A1195" s="120"/>
      <c r="N1195" s="121"/>
    </row>
    <row r="1196" ht="15.75" customHeight="1">
      <c r="A1196" s="120"/>
      <c r="N1196" s="121"/>
    </row>
    <row r="1197" ht="15.75" customHeight="1">
      <c r="A1197" s="120"/>
      <c r="N1197" s="121"/>
    </row>
    <row r="1198" ht="15.75" customHeight="1">
      <c r="A1198" s="120"/>
      <c r="N1198" s="121"/>
    </row>
    <row r="1199" ht="15.75" customHeight="1">
      <c r="A1199" s="120"/>
      <c r="N1199" s="121"/>
    </row>
    <row r="1200" ht="15.75" customHeight="1">
      <c r="A1200" s="120"/>
      <c r="N1200" s="121"/>
    </row>
    <row r="1201" ht="15.75" customHeight="1">
      <c r="A1201" s="120"/>
      <c r="N1201" s="121"/>
    </row>
    <row r="1202" ht="15.75" customHeight="1">
      <c r="A1202" s="120"/>
      <c r="N1202" s="121"/>
    </row>
    <row r="1203" ht="15.75" customHeight="1">
      <c r="A1203" s="120"/>
      <c r="N1203" s="121"/>
    </row>
    <row r="1204" ht="15.75" customHeight="1">
      <c r="A1204" s="120"/>
      <c r="N1204" s="121"/>
    </row>
    <row r="1205" ht="15.75" customHeight="1">
      <c r="A1205" s="120"/>
      <c r="N1205" s="121"/>
    </row>
    <row r="1206" ht="15.75" customHeight="1">
      <c r="A1206" s="120"/>
      <c r="N1206" s="121"/>
    </row>
    <row r="1207" ht="15.75" customHeight="1">
      <c r="A1207" s="120"/>
      <c r="N1207" s="121"/>
    </row>
    <row r="1208" ht="15.75" customHeight="1">
      <c r="A1208" s="120"/>
      <c r="N1208" s="121"/>
    </row>
    <row r="1209" ht="15.75" customHeight="1">
      <c r="A1209" s="120"/>
      <c r="N1209" s="121"/>
    </row>
    <row r="1210" ht="15.75" customHeight="1">
      <c r="A1210" s="120"/>
      <c r="N1210" s="121"/>
    </row>
    <row r="1211" ht="15.75" customHeight="1">
      <c r="A1211" s="120"/>
      <c r="N1211" s="121"/>
    </row>
    <row r="1212" ht="15.75" customHeight="1">
      <c r="A1212" s="120"/>
      <c r="N1212" s="121"/>
    </row>
    <row r="1213" ht="15.75" customHeight="1">
      <c r="A1213" s="120"/>
      <c r="N1213" s="121"/>
    </row>
    <row r="1214" ht="15.75" customHeight="1">
      <c r="A1214" s="120"/>
      <c r="N1214" s="121"/>
    </row>
    <row r="1215" ht="15.75" customHeight="1">
      <c r="A1215" s="120"/>
      <c r="N1215" s="121"/>
    </row>
    <row r="1216" ht="15.75" customHeight="1">
      <c r="A1216" s="120"/>
      <c r="N1216" s="121"/>
    </row>
    <row r="1217" ht="15.75" customHeight="1">
      <c r="A1217" s="120"/>
      <c r="N1217" s="121"/>
    </row>
    <row r="1218" ht="15.75" customHeight="1">
      <c r="A1218" s="120"/>
      <c r="N1218" s="121"/>
    </row>
    <row r="1219" ht="15.75" customHeight="1">
      <c r="A1219" s="120"/>
      <c r="N1219" s="121"/>
    </row>
    <row r="1220" ht="15.75" customHeight="1">
      <c r="A1220" s="120"/>
      <c r="N1220" s="121"/>
    </row>
    <row r="1221" ht="15.75" customHeight="1">
      <c r="A1221" s="120"/>
      <c r="N1221" s="121"/>
    </row>
    <row r="1222" ht="15.75" customHeight="1">
      <c r="A1222" s="120"/>
      <c r="N1222" s="121"/>
    </row>
    <row r="1223" ht="15.75" customHeight="1">
      <c r="A1223" s="120"/>
      <c r="N1223" s="121"/>
    </row>
    <row r="1224" ht="15.75" customHeight="1">
      <c r="A1224" s="120"/>
      <c r="N1224" s="121"/>
    </row>
    <row r="1225" ht="15.75" customHeight="1">
      <c r="A1225" s="120"/>
      <c r="N1225" s="121"/>
    </row>
    <row r="1226" ht="15.75" customHeight="1">
      <c r="A1226" s="120"/>
      <c r="N1226" s="121"/>
    </row>
    <row r="1227" ht="15.75" customHeight="1">
      <c r="A1227" s="120"/>
      <c r="N1227" s="121"/>
    </row>
    <row r="1228" ht="15.75" customHeight="1">
      <c r="A1228" s="120"/>
      <c r="N1228" s="121"/>
    </row>
    <row r="1229" ht="15.75" customHeight="1">
      <c r="A1229" s="120"/>
      <c r="N1229" s="121"/>
    </row>
    <row r="1230" ht="15.75" customHeight="1">
      <c r="A1230" s="120"/>
      <c r="N1230" s="121"/>
    </row>
    <row r="1231" ht="15.75" customHeight="1">
      <c r="A1231" s="120"/>
      <c r="N1231" s="121"/>
    </row>
    <row r="1232" ht="15.75" customHeight="1">
      <c r="A1232" s="120"/>
      <c r="N1232" s="121"/>
    </row>
    <row r="1233" ht="15.75" customHeight="1">
      <c r="A1233" s="120"/>
      <c r="N1233" s="121"/>
    </row>
    <row r="1234" ht="15.75" customHeight="1">
      <c r="A1234" s="120"/>
      <c r="N1234" s="121"/>
    </row>
    <row r="1235" ht="15.75" customHeight="1">
      <c r="A1235" s="120"/>
      <c r="N1235" s="121"/>
    </row>
    <row r="1236" ht="15.75" customHeight="1">
      <c r="A1236" s="120"/>
      <c r="N1236" s="121"/>
    </row>
    <row r="1237" ht="15.75" customHeight="1">
      <c r="A1237" s="120"/>
      <c r="N1237" s="121"/>
    </row>
    <row r="1238" ht="15.75" customHeight="1">
      <c r="A1238" s="120"/>
      <c r="N1238" s="121"/>
    </row>
    <row r="1239" ht="15.75" customHeight="1">
      <c r="A1239" s="120"/>
      <c r="N1239" s="121"/>
    </row>
    <row r="1240" ht="15.75" customHeight="1">
      <c r="A1240" s="120"/>
      <c r="N1240" s="121"/>
    </row>
    <row r="1241" ht="15.75" customHeight="1">
      <c r="A1241" s="120"/>
      <c r="N1241" s="121"/>
    </row>
    <row r="1242" ht="15.75" customHeight="1">
      <c r="A1242" s="120"/>
      <c r="N1242" s="121"/>
    </row>
    <row r="1243" ht="15.75" customHeight="1">
      <c r="A1243" s="120"/>
      <c r="N1243" s="121"/>
    </row>
    <row r="1244" ht="15.75" customHeight="1">
      <c r="A1244" s="120"/>
      <c r="N1244" s="121"/>
    </row>
    <row r="1245" ht="15.75" customHeight="1">
      <c r="A1245" s="120"/>
      <c r="N1245" s="121"/>
    </row>
    <row r="1246" ht="15.75" customHeight="1">
      <c r="A1246" s="120"/>
      <c r="N1246" s="121"/>
    </row>
    <row r="1247" ht="15.75" customHeight="1">
      <c r="A1247" s="120"/>
      <c r="N1247" s="121"/>
    </row>
    <row r="1248" ht="15.75" customHeight="1">
      <c r="A1248" s="120"/>
      <c r="N1248" s="121"/>
    </row>
    <row r="1249" ht="15.75" customHeight="1">
      <c r="A1249" s="120"/>
      <c r="N1249" s="121"/>
    </row>
    <row r="1250" ht="15.75" customHeight="1">
      <c r="A1250" s="120"/>
      <c r="N1250" s="121"/>
    </row>
    <row r="1251" ht="15.75" customHeight="1">
      <c r="A1251" s="120"/>
      <c r="N1251" s="121"/>
    </row>
    <row r="1252" ht="15.75" customHeight="1">
      <c r="A1252" s="120"/>
      <c r="N1252" s="121"/>
    </row>
    <row r="1253" ht="15.75" customHeight="1">
      <c r="A1253" s="120"/>
      <c r="N1253" s="121"/>
    </row>
    <row r="1254" ht="15.75" customHeight="1">
      <c r="A1254" s="120"/>
      <c r="N1254" s="121"/>
    </row>
    <row r="1255" ht="15.75" customHeight="1">
      <c r="A1255" s="120"/>
      <c r="N1255" s="121"/>
    </row>
    <row r="1256" ht="15.75" customHeight="1">
      <c r="A1256" s="120"/>
      <c r="N1256" s="121"/>
    </row>
    <row r="1257" ht="15.75" customHeight="1">
      <c r="A1257" s="120"/>
      <c r="N1257" s="121"/>
    </row>
    <row r="1258" ht="15.75" customHeight="1">
      <c r="A1258" s="120"/>
      <c r="N1258" s="121"/>
    </row>
    <row r="1259" ht="15.75" customHeight="1">
      <c r="A1259" s="120"/>
      <c r="N1259" s="121"/>
    </row>
    <row r="1260" ht="15.75" customHeight="1">
      <c r="A1260" s="120"/>
      <c r="N1260" s="121"/>
    </row>
    <row r="1261" ht="15.75" customHeight="1">
      <c r="A1261" s="120"/>
      <c r="N1261" s="121"/>
    </row>
    <row r="1262" ht="15.75" customHeight="1">
      <c r="A1262" s="120"/>
      <c r="N1262" s="121"/>
    </row>
    <row r="1263" ht="15.75" customHeight="1">
      <c r="A1263" s="120"/>
      <c r="N1263" s="121"/>
    </row>
    <row r="1264" ht="15.75" customHeight="1">
      <c r="A1264" s="120"/>
      <c r="N1264" s="121"/>
    </row>
    <row r="1265" ht="15.75" customHeight="1">
      <c r="A1265" s="120"/>
      <c r="N1265" s="121"/>
    </row>
    <row r="1266" ht="15.75" customHeight="1">
      <c r="A1266" s="120"/>
      <c r="N1266" s="121"/>
    </row>
    <row r="1267" ht="15.75" customHeight="1">
      <c r="A1267" s="120"/>
      <c r="N1267" s="121"/>
    </row>
    <row r="1268" ht="15.75" customHeight="1">
      <c r="A1268" s="120"/>
      <c r="N1268" s="121"/>
    </row>
    <row r="1269" ht="15.75" customHeight="1">
      <c r="A1269" s="120"/>
      <c r="N1269" s="121"/>
    </row>
    <row r="1270" ht="15.75" customHeight="1">
      <c r="A1270" s="120"/>
      <c r="N1270" s="121"/>
    </row>
    <row r="1271" ht="15.75" customHeight="1">
      <c r="A1271" s="120"/>
      <c r="N1271" s="121"/>
    </row>
    <row r="1272" ht="15.75" customHeight="1">
      <c r="A1272" s="120"/>
      <c r="N1272" s="121"/>
    </row>
    <row r="1273" ht="15.75" customHeight="1">
      <c r="A1273" s="120"/>
      <c r="N1273" s="121"/>
    </row>
    <row r="1274" ht="15.75" customHeight="1">
      <c r="A1274" s="120"/>
      <c r="N1274" s="121"/>
    </row>
    <row r="1275" ht="15.75" customHeight="1">
      <c r="A1275" s="120"/>
      <c r="N1275" s="121"/>
    </row>
    <row r="1276" ht="15.75" customHeight="1">
      <c r="A1276" s="120"/>
      <c r="N1276" s="121"/>
    </row>
    <row r="1277" ht="15.75" customHeight="1">
      <c r="A1277" s="120"/>
      <c r="N1277" s="121"/>
    </row>
    <row r="1278" ht="15.75" customHeight="1">
      <c r="A1278" s="120"/>
      <c r="N1278" s="121"/>
    </row>
    <row r="1279" ht="15.75" customHeight="1">
      <c r="A1279" s="120"/>
      <c r="N1279" s="121"/>
    </row>
    <row r="1280" ht="15.75" customHeight="1">
      <c r="A1280" s="120"/>
      <c r="N1280" s="121"/>
    </row>
    <row r="1281" ht="15.75" customHeight="1">
      <c r="A1281" s="120"/>
      <c r="N1281" s="121"/>
    </row>
    <row r="1282" ht="15.75" customHeight="1">
      <c r="A1282" s="120"/>
      <c r="N1282" s="121"/>
    </row>
    <row r="1283" ht="15.75" customHeight="1">
      <c r="A1283" s="120"/>
      <c r="N1283" s="121"/>
    </row>
    <row r="1284" ht="15.75" customHeight="1">
      <c r="A1284" s="120"/>
      <c r="N1284" s="121"/>
    </row>
    <row r="1285" ht="15.75" customHeight="1">
      <c r="A1285" s="120"/>
      <c r="N1285" s="121"/>
    </row>
    <row r="1286" ht="15.75" customHeight="1">
      <c r="A1286" s="120"/>
      <c r="N1286" s="121"/>
    </row>
    <row r="1287" ht="15.75" customHeight="1">
      <c r="A1287" s="120"/>
      <c r="N1287" s="121"/>
    </row>
    <row r="1288" ht="15.75" customHeight="1">
      <c r="A1288" s="120"/>
      <c r="N1288" s="121"/>
    </row>
    <row r="1289" ht="15.75" customHeight="1">
      <c r="A1289" s="120"/>
      <c r="N1289" s="121"/>
    </row>
    <row r="1290" ht="15.75" customHeight="1">
      <c r="A1290" s="120"/>
      <c r="N1290" s="121"/>
    </row>
    <row r="1291" ht="15.75" customHeight="1">
      <c r="A1291" s="120"/>
      <c r="N1291" s="121"/>
    </row>
    <row r="1292" ht="15.75" customHeight="1">
      <c r="A1292" s="120"/>
      <c r="N1292" s="121"/>
    </row>
    <row r="1293" ht="15.75" customHeight="1">
      <c r="A1293" s="120"/>
      <c r="N1293" s="121"/>
    </row>
    <row r="1294" ht="15.75" customHeight="1">
      <c r="A1294" s="120"/>
      <c r="N1294" s="121"/>
    </row>
    <row r="1295" ht="15.75" customHeight="1">
      <c r="A1295" s="120"/>
      <c r="N1295" s="121"/>
    </row>
    <row r="1296" ht="15.75" customHeight="1">
      <c r="A1296" s="120"/>
      <c r="N1296" s="121"/>
    </row>
    <row r="1297" ht="15.75" customHeight="1">
      <c r="A1297" s="120"/>
      <c r="N1297" s="121"/>
    </row>
    <row r="1298" ht="15.75" customHeight="1">
      <c r="A1298" s="120"/>
      <c r="N1298" s="121"/>
    </row>
    <row r="1299" ht="15.75" customHeight="1">
      <c r="A1299" s="120"/>
      <c r="N1299" s="121"/>
    </row>
    <row r="1300" ht="15.75" customHeight="1">
      <c r="A1300" s="120"/>
      <c r="N1300" s="121"/>
    </row>
    <row r="1301" ht="15.75" customHeight="1">
      <c r="A1301" s="120"/>
      <c r="N1301" s="121"/>
    </row>
    <row r="1302" ht="15.75" customHeight="1">
      <c r="A1302" s="120"/>
      <c r="N1302" s="121"/>
    </row>
    <row r="1303" ht="15.75" customHeight="1">
      <c r="A1303" s="120"/>
      <c r="N1303" s="121"/>
    </row>
    <row r="1304" ht="15.75" customHeight="1">
      <c r="A1304" s="120"/>
      <c r="N1304" s="121"/>
    </row>
    <row r="1305" ht="15.75" customHeight="1">
      <c r="A1305" s="120"/>
      <c r="N1305" s="121"/>
    </row>
    <row r="1306" ht="15.75" customHeight="1">
      <c r="A1306" s="120"/>
      <c r="N1306" s="121"/>
    </row>
    <row r="1307" ht="15.75" customHeight="1">
      <c r="A1307" s="120"/>
      <c r="N1307" s="121"/>
    </row>
    <row r="1308" ht="15.75" customHeight="1">
      <c r="A1308" s="120"/>
      <c r="N1308" s="121"/>
    </row>
    <row r="1309" ht="15.75" customHeight="1">
      <c r="A1309" s="120"/>
      <c r="N1309" s="121"/>
    </row>
    <row r="1310" ht="15.75" customHeight="1">
      <c r="A1310" s="120"/>
      <c r="N1310" s="121"/>
    </row>
    <row r="1311" ht="15.75" customHeight="1">
      <c r="A1311" s="120"/>
      <c r="N1311" s="121"/>
    </row>
    <row r="1312" ht="15.75" customHeight="1">
      <c r="A1312" s="120"/>
      <c r="N1312" s="121"/>
    </row>
    <row r="1313" ht="15.75" customHeight="1">
      <c r="A1313" s="120"/>
      <c r="N1313" s="121"/>
    </row>
    <row r="1314" ht="15.75" customHeight="1">
      <c r="A1314" s="120"/>
      <c r="N1314" s="121"/>
    </row>
    <row r="1315" ht="15.75" customHeight="1">
      <c r="A1315" s="120"/>
      <c r="N1315" s="121"/>
    </row>
    <row r="1316" ht="15.75" customHeight="1">
      <c r="A1316" s="120"/>
      <c r="N1316" s="121"/>
    </row>
    <row r="1317" ht="15.75" customHeight="1">
      <c r="A1317" s="120"/>
      <c r="N1317" s="121"/>
    </row>
    <row r="1318" ht="15.75" customHeight="1">
      <c r="A1318" s="120"/>
      <c r="N1318" s="121"/>
    </row>
    <row r="1319" ht="15.75" customHeight="1">
      <c r="A1319" s="120"/>
      <c r="N1319" s="121"/>
    </row>
    <row r="1320" ht="15.75" customHeight="1">
      <c r="A1320" s="120"/>
      <c r="N1320" s="121"/>
    </row>
    <row r="1321" ht="15.75" customHeight="1">
      <c r="A1321" s="120"/>
      <c r="N1321" s="121"/>
    </row>
    <row r="1322" ht="15.75" customHeight="1">
      <c r="A1322" s="120"/>
      <c r="N1322" s="121"/>
    </row>
    <row r="1323" ht="15.75" customHeight="1">
      <c r="A1323" s="120"/>
      <c r="N1323" s="121"/>
    </row>
    <row r="1324" ht="15.75" customHeight="1">
      <c r="A1324" s="120"/>
      <c r="N1324" s="121"/>
    </row>
    <row r="1325" ht="15.75" customHeight="1">
      <c r="A1325" s="120"/>
      <c r="N1325" s="121"/>
    </row>
    <row r="1326" ht="15.75" customHeight="1">
      <c r="A1326" s="120"/>
      <c r="N1326" s="121"/>
    </row>
    <row r="1327" ht="15.75" customHeight="1">
      <c r="A1327" s="120"/>
      <c r="N1327" s="121"/>
    </row>
    <row r="1328" ht="15.75" customHeight="1">
      <c r="A1328" s="120"/>
      <c r="N1328" s="121"/>
    </row>
    <row r="1329" ht="15.75" customHeight="1">
      <c r="A1329" s="120"/>
      <c r="N1329" s="121"/>
    </row>
    <row r="1330" ht="15.75" customHeight="1">
      <c r="A1330" s="120"/>
      <c r="N1330" s="121"/>
    </row>
    <row r="1331" ht="15.75" customHeight="1">
      <c r="A1331" s="120"/>
      <c r="N1331" s="121"/>
    </row>
    <row r="1332" ht="15.75" customHeight="1">
      <c r="A1332" s="120"/>
      <c r="N1332" s="121"/>
    </row>
    <row r="1333" ht="15.75" customHeight="1">
      <c r="A1333" s="120"/>
      <c r="N1333" s="121"/>
    </row>
    <row r="1334" ht="15.75" customHeight="1">
      <c r="A1334" s="120"/>
      <c r="N1334" s="121"/>
    </row>
    <row r="1335" ht="15.75" customHeight="1">
      <c r="A1335" s="120"/>
      <c r="N1335" s="121"/>
    </row>
    <row r="1336" ht="15.75" customHeight="1">
      <c r="A1336" s="120"/>
      <c r="N1336" s="121"/>
    </row>
    <row r="1337" ht="15.75" customHeight="1">
      <c r="A1337" s="120"/>
      <c r="N1337" s="121"/>
    </row>
    <row r="1338" ht="15.75" customHeight="1">
      <c r="A1338" s="120"/>
      <c r="N1338" s="121"/>
    </row>
    <row r="1339" ht="15.75" customHeight="1">
      <c r="A1339" s="120"/>
      <c r="N1339" s="121"/>
    </row>
    <row r="1340" ht="15.75" customHeight="1">
      <c r="A1340" s="120"/>
      <c r="N1340" s="121"/>
    </row>
    <row r="1341" ht="15.75" customHeight="1">
      <c r="A1341" s="120"/>
      <c r="N1341" s="121"/>
    </row>
    <row r="1342" ht="15.75" customHeight="1">
      <c r="A1342" s="120"/>
      <c r="N1342" s="121"/>
    </row>
    <row r="1343" ht="15.75" customHeight="1">
      <c r="A1343" s="120"/>
      <c r="N1343" s="121"/>
    </row>
    <row r="1344" ht="15.75" customHeight="1">
      <c r="A1344" s="120"/>
      <c r="N1344" s="121"/>
    </row>
    <row r="1345" ht="15.75" customHeight="1">
      <c r="A1345" s="120"/>
      <c r="N1345" s="121"/>
    </row>
    <row r="1346" ht="15.75" customHeight="1">
      <c r="A1346" s="120"/>
      <c r="N1346" s="121"/>
    </row>
    <row r="1347" ht="15.75" customHeight="1">
      <c r="A1347" s="120"/>
      <c r="N1347" s="121"/>
    </row>
    <row r="1348" ht="15.75" customHeight="1">
      <c r="A1348" s="120"/>
      <c r="N1348" s="121"/>
    </row>
    <row r="1349" ht="15.75" customHeight="1">
      <c r="A1349" s="120"/>
      <c r="N1349" s="121"/>
    </row>
    <row r="1350" ht="15.75" customHeight="1">
      <c r="A1350" s="120"/>
      <c r="N1350" s="121"/>
    </row>
    <row r="1351" ht="15.75" customHeight="1">
      <c r="A1351" s="120"/>
      <c r="N1351" s="121"/>
    </row>
    <row r="1352" ht="15.75" customHeight="1">
      <c r="A1352" s="120"/>
      <c r="N1352" s="121"/>
    </row>
    <row r="1353" ht="15.75" customHeight="1">
      <c r="A1353" s="120"/>
      <c r="N1353" s="121"/>
    </row>
    <row r="1354" ht="15.75" customHeight="1">
      <c r="A1354" s="120"/>
      <c r="N1354" s="121"/>
    </row>
    <row r="1355" ht="15.75" customHeight="1">
      <c r="A1355" s="120"/>
      <c r="N1355" s="121"/>
    </row>
    <row r="1356" ht="15.75" customHeight="1">
      <c r="A1356" s="120"/>
      <c r="N1356" s="121"/>
    </row>
    <row r="1357" ht="15.75" customHeight="1">
      <c r="A1357" s="120"/>
      <c r="N1357" s="121"/>
    </row>
    <row r="1358" ht="15.75" customHeight="1">
      <c r="A1358" s="120"/>
      <c r="N1358" s="121"/>
    </row>
    <row r="1359" ht="15.75" customHeight="1">
      <c r="A1359" s="120"/>
      <c r="N1359" s="121"/>
    </row>
    <row r="1360" ht="15.75" customHeight="1">
      <c r="A1360" s="120"/>
      <c r="N1360" s="121"/>
    </row>
    <row r="1361" ht="15.75" customHeight="1">
      <c r="A1361" s="120"/>
      <c r="N1361" s="121"/>
    </row>
    <row r="1362" ht="15.75" customHeight="1">
      <c r="A1362" s="120"/>
      <c r="N1362" s="121"/>
    </row>
    <row r="1363" ht="15.75" customHeight="1">
      <c r="A1363" s="120"/>
      <c r="N1363" s="121"/>
    </row>
    <row r="1364" ht="15.75" customHeight="1">
      <c r="A1364" s="120"/>
      <c r="N1364" s="121"/>
    </row>
    <row r="1365" ht="15.75" customHeight="1">
      <c r="A1365" s="120"/>
      <c r="N1365" s="121"/>
    </row>
    <row r="1366" ht="15.75" customHeight="1">
      <c r="A1366" s="120"/>
      <c r="N1366" s="121"/>
    </row>
    <row r="1367" ht="15.75" customHeight="1">
      <c r="A1367" s="120"/>
      <c r="N1367" s="121"/>
    </row>
    <row r="1368" ht="15.75" customHeight="1">
      <c r="A1368" s="120"/>
      <c r="N1368" s="121"/>
    </row>
    <row r="1369" ht="15.75" customHeight="1">
      <c r="A1369" s="120"/>
      <c r="N1369" s="121"/>
    </row>
    <row r="1370" ht="15.75" customHeight="1">
      <c r="A1370" s="120"/>
      <c r="N1370" s="121"/>
    </row>
    <row r="1371" ht="15.75" customHeight="1">
      <c r="A1371" s="120"/>
      <c r="N1371" s="121"/>
    </row>
    <row r="1372" ht="15.75" customHeight="1">
      <c r="A1372" s="120"/>
      <c r="N1372" s="121"/>
    </row>
    <row r="1373" ht="15.75" customHeight="1">
      <c r="A1373" s="120"/>
      <c r="N1373" s="121"/>
    </row>
    <row r="1374" ht="15.75" customHeight="1">
      <c r="A1374" s="120"/>
      <c r="N1374" s="121"/>
    </row>
    <row r="1375" ht="15.75" customHeight="1">
      <c r="A1375" s="120"/>
      <c r="N1375" s="121"/>
    </row>
    <row r="1376" ht="15.75" customHeight="1">
      <c r="A1376" s="120"/>
      <c r="N1376" s="121"/>
    </row>
    <row r="1377" ht="15.75" customHeight="1">
      <c r="A1377" s="120"/>
      <c r="N1377" s="121"/>
    </row>
    <row r="1378" ht="15.75" customHeight="1">
      <c r="A1378" s="120"/>
      <c r="N1378" s="121"/>
    </row>
    <row r="1379" ht="15.75" customHeight="1">
      <c r="A1379" s="120"/>
      <c r="N1379" s="121"/>
    </row>
    <row r="1380" ht="15.75" customHeight="1">
      <c r="A1380" s="120"/>
      <c r="N1380" s="121"/>
    </row>
    <row r="1381" ht="15.75" customHeight="1">
      <c r="A1381" s="120"/>
      <c r="N1381" s="121"/>
    </row>
    <row r="1382" ht="15.75" customHeight="1">
      <c r="A1382" s="120"/>
      <c r="N1382" s="121"/>
    </row>
    <row r="1383" ht="15.75" customHeight="1">
      <c r="A1383" s="120"/>
      <c r="N1383" s="121"/>
    </row>
    <row r="1384" ht="15.75" customHeight="1">
      <c r="A1384" s="120"/>
      <c r="N1384" s="121"/>
    </row>
    <row r="1385" ht="15.75" customHeight="1">
      <c r="A1385" s="120"/>
      <c r="N1385" s="121"/>
    </row>
    <row r="1386" ht="15.75" customHeight="1">
      <c r="A1386" s="120"/>
      <c r="N1386" s="121"/>
    </row>
    <row r="1387" ht="15.75" customHeight="1">
      <c r="A1387" s="120"/>
      <c r="N1387" s="121"/>
    </row>
    <row r="1388" ht="15.75" customHeight="1">
      <c r="A1388" s="120"/>
      <c r="N1388" s="121"/>
    </row>
    <row r="1389" ht="15.75" customHeight="1">
      <c r="A1389" s="120"/>
      <c r="N1389" s="121"/>
    </row>
    <row r="1390" ht="15.75" customHeight="1">
      <c r="A1390" s="120"/>
      <c r="N1390" s="121"/>
    </row>
    <row r="1391" ht="15.75" customHeight="1">
      <c r="A1391" s="120"/>
      <c r="N1391" s="121"/>
    </row>
    <row r="1392" ht="15.75" customHeight="1">
      <c r="A1392" s="120"/>
      <c r="N1392" s="121"/>
    </row>
    <row r="1393" ht="15.75" customHeight="1">
      <c r="A1393" s="120"/>
      <c r="N1393" s="121"/>
    </row>
    <row r="1394" ht="15.75" customHeight="1">
      <c r="A1394" s="120"/>
      <c r="N1394" s="121"/>
    </row>
    <row r="1395" ht="15.75" customHeight="1">
      <c r="A1395" s="120"/>
      <c r="N1395" s="121"/>
    </row>
    <row r="1396" ht="15.75" customHeight="1">
      <c r="A1396" s="120"/>
      <c r="N1396" s="121"/>
    </row>
    <row r="1397" ht="15.75" customHeight="1">
      <c r="A1397" s="120"/>
      <c r="N1397" s="121"/>
    </row>
    <row r="1398" ht="15.75" customHeight="1">
      <c r="A1398" s="120"/>
      <c r="N1398" s="121"/>
    </row>
    <row r="1399" ht="15.75" customHeight="1">
      <c r="A1399" s="120"/>
      <c r="N1399" s="121"/>
    </row>
    <row r="1400" ht="15.75" customHeight="1">
      <c r="A1400" s="120"/>
      <c r="N1400" s="121"/>
    </row>
    <row r="1401" ht="15.75" customHeight="1">
      <c r="A1401" s="120"/>
      <c r="N1401" s="121"/>
    </row>
    <row r="1402" ht="15.75" customHeight="1">
      <c r="A1402" s="120"/>
      <c r="N1402" s="121"/>
    </row>
    <row r="1403" ht="15.75" customHeight="1">
      <c r="A1403" s="120"/>
      <c r="N1403" s="121"/>
    </row>
    <row r="1404" ht="15.75" customHeight="1">
      <c r="A1404" s="120"/>
      <c r="N1404" s="121"/>
    </row>
    <row r="1405" ht="15.75" customHeight="1">
      <c r="A1405" s="120"/>
      <c r="N1405" s="121"/>
    </row>
    <row r="1406" ht="15.75" customHeight="1">
      <c r="A1406" s="120"/>
      <c r="N1406" s="121"/>
    </row>
    <row r="1407" ht="15.75" customHeight="1">
      <c r="A1407" s="120"/>
      <c r="N1407" s="121"/>
    </row>
    <row r="1408" ht="15.75" customHeight="1">
      <c r="A1408" s="120"/>
      <c r="N1408" s="121"/>
    </row>
    <row r="1409" ht="15.75" customHeight="1">
      <c r="A1409" s="120"/>
      <c r="N1409" s="121"/>
    </row>
    <row r="1410" ht="15.75" customHeight="1">
      <c r="A1410" s="120"/>
      <c r="N1410" s="121"/>
    </row>
    <row r="1411" ht="15.75" customHeight="1">
      <c r="A1411" s="120"/>
      <c r="N1411" s="121"/>
    </row>
    <row r="1412" ht="15.75" customHeight="1">
      <c r="A1412" s="120"/>
      <c r="N1412" s="121"/>
    </row>
    <row r="1413" ht="15.75" customHeight="1">
      <c r="A1413" s="120"/>
      <c r="N1413" s="121"/>
    </row>
    <row r="1414" ht="15.75" customHeight="1">
      <c r="A1414" s="120"/>
      <c r="N1414" s="121"/>
    </row>
    <row r="1415" ht="15.75" customHeight="1">
      <c r="A1415" s="120"/>
      <c r="N1415" s="121"/>
    </row>
    <row r="1416" ht="15.75" customHeight="1">
      <c r="A1416" s="120"/>
      <c r="N1416" s="121"/>
    </row>
    <row r="1417" ht="15.75" customHeight="1">
      <c r="A1417" s="120"/>
      <c r="N1417" s="121"/>
    </row>
    <row r="1418" ht="15.75" customHeight="1">
      <c r="A1418" s="120"/>
      <c r="N1418" s="121"/>
    </row>
    <row r="1419" ht="15.75" customHeight="1">
      <c r="A1419" s="120"/>
      <c r="N1419" s="121"/>
    </row>
    <row r="1420" ht="15.75" customHeight="1">
      <c r="A1420" s="120"/>
      <c r="N1420" s="121"/>
    </row>
    <row r="1421" ht="15.75" customHeight="1">
      <c r="A1421" s="120"/>
      <c r="N1421" s="121"/>
    </row>
    <row r="1422" ht="15.75" customHeight="1">
      <c r="A1422" s="120"/>
      <c r="N1422" s="121"/>
    </row>
    <row r="1423" ht="15.75" customHeight="1">
      <c r="A1423" s="120"/>
      <c r="N1423" s="121"/>
    </row>
    <row r="1424" ht="15.75" customHeight="1">
      <c r="A1424" s="120"/>
      <c r="N1424" s="121"/>
    </row>
    <row r="1425" ht="15.75" customHeight="1">
      <c r="A1425" s="120"/>
      <c r="N1425" s="121"/>
    </row>
    <row r="1426" ht="15.75" customHeight="1">
      <c r="A1426" s="120"/>
      <c r="N1426" s="121"/>
    </row>
    <row r="1427" ht="15.75" customHeight="1">
      <c r="A1427" s="120"/>
      <c r="N1427" s="121"/>
    </row>
    <row r="1428" ht="15.75" customHeight="1">
      <c r="A1428" s="120"/>
      <c r="N1428" s="121"/>
    </row>
    <row r="1429" ht="15.75" customHeight="1">
      <c r="A1429" s="120"/>
      <c r="N1429" s="121"/>
    </row>
    <row r="1430" ht="15.75" customHeight="1">
      <c r="A1430" s="120"/>
      <c r="N1430" s="121"/>
    </row>
    <row r="1431" ht="15.75" customHeight="1">
      <c r="A1431" s="120"/>
      <c r="N1431" s="121"/>
    </row>
    <row r="1432" ht="15.75" customHeight="1">
      <c r="A1432" s="120"/>
      <c r="N1432" s="121"/>
    </row>
    <row r="1433" ht="15.75" customHeight="1">
      <c r="A1433" s="120"/>
      <c r="N1433" s="121"/>
    </row>
    <row r="1434" ht="15.75" customHeight="1">
      <c r="A1434" s="120"/>
      <c r="N1434" s="121"/>
    </row>
    <row r="1435" ht="15.75" customHeight="1">
      <c r="A1435" s="120"/>
      <c r="N1435" s="121"/>
    </row>
    <row r="1436" ht="15.75" customHeight="1">
      <c r="A1436" s="120"/>
      <c r="N1436" s="121"/>
    </row>
    <row r="1437" ht="15.75" customHeight="1">
      <c r="A1437" s="120"/>
      <c r="N1437" s="121"/>
    </row>
    <row r="1438" ht="15.75" customHeight="1">
      <c r="A1438" s="120"/>
      <c r="N1438" s="121"/>
    </row>
    <row r="1439" ht="15.75" customHeight="1">
      <c r="A1439" s="120"/>
      <c r="N1439" s="121"/>
    </row>
    <row r="1440" ht="15.75" customHeight="1">
      <c r="A1440" s="120"/>
      <c r="N1440" s="121"/>
    </row>
    <row r="1441" ht="15.75" customHeight="1">
      <c r="A1441" s="120"/>
      <c r="N1441" s="121"/>
    </row>
    <row r="1442" ht="15.75" customHeight="1">
      <c r="A1442" s="120"/>
      <c r="N1442" s="121"/>
    </row>
    <row r="1443" ht="15.75" customHeight="1">
      <c r="A1443" s="120"/>
      <c r="N1443" s="121"/>
    </row>
    <row r="1444" ht="15.75" customHeight="1">
      <c r="A1444" s="120"/>
      <c r="N1444" s="121"/>
    </row>
    <row r="1445" ht="15.75" customHeight="1">
      <c r="A1445" s="120"/>
      <c r="N1445" s="121"/>
    </row>
    <row r="1446" ht="15.75" customHeight="1">
      <c r="A1446" s="120"/>
      <c r="N1446" s="121"/>
    </row>
    <row r="1447" ht="15.75" customHeight="1">
      <c r="A1447" s="120"/>
      <c r="N1447" s="121"/>
    </row>
    <row r="1448" ht="15.75" customHeight="1">
      <c r="A1448" s="120"/>
      <c r="N1448" s="121"/>
    </row>
    <row r="1449" ht="15.75" customHeight="1">
      <c r="A1449" s="120"/>
      <c r="N1449" s="121"/>
    </row>
    <row r="1450" ht="15.75" customHeight="1">
      <c r="A1450" s="120"/>
      <c r="N1450" s="121"/>
    </row>
    <row r="1451" ht="15.75" customHeight="1">
      <c r="A1451" s="120"/>
      <c r="N1451" s="121"/>
    </row>
    <row r="1452" ht="15.75" customHeight="1">
      <c r="A1452" s="120"/>
      <c r="N1452" s="121"/>
    </row>
    <row r="1453" ht="15.75" customHeight="1">
      <c r="A1453" s="120"/>
      <c r="N1453" s="121"/>
    </row>
    <row r="1454" ht="15.75" customHeight="1">
      <c r="A1454" s="120"/>
      <c r="N1454" s="121"/>
    </row>
    <row r="1455" ht="15.75" customHeight="1">
      <c r="A1455" s="120"/>
      <c r="N1455" s="121"/>
    </row>
    <row r="1456" ht="15.75" customHeight="1">
      <c r="A1456" s="120"/>
      <c r="N1456" s="121"/>
    </row>
    <row r="1457" ht="15.75" customHeight="1">
      <c r="A1457" s="120"/>
      <c r="N1457" s="121"/>
    </row>
    <row r="1458" ht="15.75" customHeight="1">
      <c r="A1458" s="120"/>
      <c r="N1458" s="121"/>
    </row>
    <row r="1459" ht="15.75" customHeight="1">
      <c r="A1459" s="120"/>
      <c r="N1459" s="121"/>
    </row>
    <row r="1460" ht="15.75" customHeight="1">
      <c r="A1460" s="120"/>
      <c r="N1460" s="121"/>
    </row>
    <row r="1461" ht="15.75" customHeight="1">
      <c r="A1461" s="120"/>
      <c r="N1461" s="121"/>
    </row>
    <row r="1462" ht="15.75" customHeight="1">
      <c r="A1462" s="120"/>
      <c r="N1462" s="121"/>
    </row>
    <row r="1463" ht="15.75" customHeight="1">
      <c r="A1463" s="120"/>
      <c r="N1463" s="121"/>
    </row>
    <row r="1464" ht="15.75" customHeight="1">
      <c r="A1464" s="120"/>
      <c r="N1464" s="121"/>
    </row>
    <row r="1465" ht="15.75" customHeight="1">
      <c r="A1465" s="120"/>
      <c r="N1465" s="121"/>
    </row>
    <row r="1466" ht="15.75" customHeight="1">
      <c r="A1466" s="120"/>
      <c r="N1466" s="121"/>
    </row>
    <row r="1467" ht="15.75" customHeight="1">
      <c r="A1467" s="120"/>
      <c r="N1467" s="121"/>
    </row>
    <row r="1468" ht="15.75" customHeight="1">
      <c r="A1468" s="120"/>
      <c r="N1468" s="121"/>
    </row>
    <row r="1469" ht="15.75" customHeight="1">
      <c r="A1469" s="120"/>
      <c r="N1469" s="121"/>
    </row>
    <row r="1470" ht="15.75" customHeight="1">
      <c r="A1470" s="120"/>
      <c r="N1470" s="121"/>
    </row>
    <row r="1471" ht="15.75" customHeight="1">
      <c r="A1471" s="120"/>
      <c r="N1471" s="121"/>
    </row>
    <row r="1472" ht="15.75" customHeight="1">
      <c r="A1472" s="120"/>
      <c r="N1472" s="121"/>
    </row>
    <row r="1473" ht="15.75" customHeight="1">
      <c r="A1473" s="120"/>
      <c r="N1473" s="121"/>
    </row>
    <row r="1474" ht="15.75" customHeight="1">
      <c r="A1474" s="120"/>
      <c r="N1474" s="121"/>
    </row>
    <row r="1475" ht="15.75" customHeight="1">
      <c r="A1475" s="120"/>
      <c r="N1475" s="121"/>
    </row>
    <row r="1476" ht="15.75" customHeight="1">
      <c r="A1476" s="120"/>
      <c r="N1476" s="121"/>
    </row>
    <row r="1477" ht="15.75" customHeight="1">
      <c r="A1477" s="120"/>
      <c r="N1477" s="121"/>
    </row>
    <row r="1478" ht="15.75" customHeight="1">
      <c r="A1478" s="120"/>
      <c r="N1478" s="121"/>
    </row>
    <row r="1479" ht="15.75" customHeight="1">
      <c r="A1479" s="120"/>
      <c r="N1479" s="121"/>
    </row>
    <row r="1480" ht="15.75" customHeight="1">
      <c r="A1480" s="120"/>
      <c r="N1480" s="121"/>
    </row>
    <row r="1481" ht="15.75" customHeight="1">
      <c r="A1481" s="120"/>
      <c r="N1481" s="121"/>
    </row>
    <row r="1482" ht="15.75" customHeight="1">
      <c r="A1482" s="120"/>
      <c r="N1482" s="121"/>
    </row>
    <row r="1483" ht="15.75" customHeight="1">
      <c r="A1483" s="120"/>
      <c r="N1483" s="121"/>
    </row>
    <row r="1484" ht="15.75" customHeight="1">
      <c r="A1484" s="120"/>
      <c r="N1484" s="121"/>
    </row>
    <row r="1485" ht="15.75" customHeight="1">
      <c r="A1485" s="120"/>
      <c r="N1485" s="121"/>
    </row>
    <row r="1486" ht="15.75" customHeight="1">
      <c r="A1486" s="120"/>
      <c r="N1486" s="121"/>
    </row>
    <row r="1487" ht="15.75" customHeight="1">
      <c r="A1487" s="120"/>
      <c r="N1487" s="121"/>
    </row>
    <row r="1488" ht="15.75" customHeight="1">
      <c r="A1488" s="120"/>
      <c r="N1488" s="121"/>
    </row>
    <row r="1489" ht="15.75" customHeight="1">
      <c r="A1489" s="120"/>
      <c r="N1489" s="121"/>
    </row>
    <row r="1490" ht="15.75" customHeight="1">
      <c r="A1490" s="120"/>
      <c r="N1490" s="121"/>
    </row>
    <row r="1491" ht="15.75" customHeight="1">
      <c r="A1491" s="120"/>
      <c r="N1491" s="121"/>
    </row>
    <row r="1492" ht="15.75" customHeight="1">
      <c r="A1492" s="120"/>
      <c r="N1492" s="121"/>
    </row>
    <row r="1493" ht="15.75" customHeight="1">
      <c r="A1493" s="120"/>
      <c r="N1493" s="121"/>
    </row>
    <row r="1494" ht="15.75" customHeight="1">
      <c r="A1494" s="120"/>
      <c r="N1494" s="121"/>
    </row>
    <row r="1495" ht="15.75" customHeight="1">
      <c r="A1495" s="120"/>
      <c r="N1495" s="121"/>
    </row>
    <row r="1496" ht="15.75" customHeight="1">
      <c r="A1496" s="120"/>
      <c r="N1496" s="121"/>
    </row>
    <row r="1497" ht="15.75" customHeight="1">
      <c r="A1497" s="120"/>
      <c r="N1497" s="121"/>
    </row>
    <row r="1498" ht="15.75" customHeight="1">
      <c r="A1498" s="120"/>
      <c r="N1498" s="121"/>
    </row>
    <row r="1499" ht="15.75" customHeight="1">
      <c r="A1499" s="120"/>
      <c r="N1499" s="121"/>
    </row>
    <row r="1500" ht="15.75" customHeight="1">
      <c r="N1500" s="121"/>
    </row>
    <row r="1501" ht="15.75" customHeight="1">
      <c r="N1501" s="121"/>
    </row>
    <row r="1502" ht="15.75" customHeight="1">
      <c r="N1502" s="121"/>
    </row>
    <row r="1503" ht="15.75" customHeight="1">
      <c r="N1503" s="121"/>
    </row>
    <row r="1504" ht="15.75" customHeight="1">
      <c r="N1504" s="121"/>
    </row>
    <row r="1505">
      <c r="N1505" s="122"/>
    </row>
    <row r="1506">
      <c r="N1506" s="122"/>
    </row>
    <row r="1507">
      <c r="N1507" s="122"/>
    </row>
    <row r="1508">
      <c r="N1508" s="122"/>
    </row>
    <row r="1509">
      <c r="N1509" s="122"/>
    </row>
    <row r="1510">
      <c r="N1510" s="122"/>
    </row>
    <row r="1511">
      <c r="N1511" s="122"/>
    </row>
    <row r="1512">
      <c r="N1512" s="122"/>
    </row>
    <row r="1513">
      <c r="N1513" s="122"/>
    </row>
    <row r="1514">
      <c r="N1514" s="122"/>
    </row>
    <row r="1515">
      <c r="N1515" s="122"/>
    </row>
    <row r="1516">
      <c r="N1516" s="122"/>
    </row>
    <row r="1517">
      <c r="N1517" s="122"/>
    </row>
    <row r="1518">
      <c r="N1518" s="122"/>
    </row>
    <row r="1519">
      <c r="N1519" s="122"/>
    </row>
    <row r="1520">
      <c r="N1520" s="122"/>
    </row>
    <row r="1521">
      <c r="N1521" s="122"/>
    </row>
    <row r="1522">
      <c r="N1522" s="122"/>
    </row>
    <row r="1523">
      <c r="N1523" s="122"/>
    </row>
    <row r="1524">
      <c r="N1524" s="122"/>
    </row>
    <row r="1525">
      <c r="N1525" s="122"/>
    </row>
    <row r="1526">
      <c r="N1526" s="122"/>
    </row>
    <row r="1527">
      <c r="N1527" s="122"/>
    </row>
    <row r="1528">
      <c r="N1528" s="122"/>
    </row>
    <row r="1529">
      <c r="N1529" s="122"/>
    </row>
    <row r="1530">
      <c r="N1530" s="122"/>
    </row>
    <row r="1531">
      <c r="N1531" s="122"/>
    </row>
    <row r="1532">
      <c r="N1532" s="122"/>
    </row>
    <row r="1533">
      <c r="N1533" s="122"/>
    </row>
    <row r="1534">
      <c r="N1534" s="122"/>
    </row>
    <row r="1535">
      <c r="N1535" s="122"/>
    </row>
    <row r="1536">
      <c r="N1536" s="122"/>
    </row>
    <row r="1537">
      <c r="N1537" s="122"/>
    </row>
    <row r="1538">
      <c r="N1538" s="122"/>
    </row>
    <row r="1539">
      <c r="N1539" s="122"/>
    </row>
    <row r="1540">
      <c r="N1540" s="122"/>
    </row>
    <row r="1541">
      <c r="N1541" s="122"/>
    </row>
    <row r="1542">
      <c r="N1542" s="122"/>
    </row>
    <row r="1543">
      <c r="N1543" s="122"/>
    </row>
    <row r="1544">
      <c r="N1544" s="122"/>
    </row>
    <row r="1545">
      <c r="N1545" s="122"/>
    </row>
    <row r="1546">
      <c r="N1546" s="122"/>
    </row>
    <row r="1547">
      <c r="N1547" s="122"/>
    </row>
    <row r="1548">
      <c r="N1548" s="122"/>
    </row>
    <row r="1549">
      <c r="N1549" s="122"/>
    </row>
    <row r="1550">
      <c r="N1550" s="122"/>
    </row>
    <row r="1551">
      <c r="N1551" s="122"/>
    </row>
    <row r="1552">
      <c r="N1552" s="122"/>
    </row>
    <row r="1553">
      <c r="N1553" s="122"/>
    </row>
    <row r="1554">
      <c r="N1554" s="122"/>
    </row>
    <row r="1555">
      <c r="N1555" s="122"/>
    </row>
    <row r="1556">
      <c r="N1556" s="122"/>
    </row>
    <row r="1557">
      <c r="N1557" s="122"/>
    </row>
    <row r="1558">
      <c r="N1558" s="122"/>
    </row>
    <row r="1559">
      <c r="N1559" s="122"/>
    </row>
    <row r="1560">
      <c r="N1560" s="122"/>
    </row>
    <row r="1561">
      <c r="N1561" s="122"/>
    </row>
    <row r="1562">
      <c r="N1562" s="122"/>
    </row>
    <row r="1563">
      <c r="N1563" s="122"/>
    </row>
    <row r="1564">
      <c r="N1564" s="122"/>
    </row>
    <row r="1565">
      <c r="N1565" s="122"/>
    </row>
    <row r="1566">
      <c r="N1566" s="122"/>
    </row>
    <row r="1567">
      <c r="N1567" s="122"/>
    </row>
    <row r="1568">
      <c r="N1568" s="122"/>
    </row>
    <row r="1569">
      <c r="N1569" s="122"/>
    </row>
    <row r="1570">
      <c r="N1570" s="122"/>
    </row>
    <row r="1571">
      <c r="N1571" s="122"/>
    </row>
    <row r="1572">
      <c r="N1572" s="122"/>
    </row>
    <row r="1573">
      <c r="N1573" s="122"/>
    </row>
    <row r="1574">
      <c r="N1574" s="122"/>
    </row>
    <row r="1575">
      <c r="N1575" s="122"/>
    </row>
    <row r="1576">
      <c r="N1576" s="122"/>
    </row>
    <row r="1577">
      <c r="N1577" s="122"/>
    </row>
    <row r="1578">
      <c r="N1578" s="122"/>
    </row>
    <row r="1579">
      <c r="N1579" s="122"/>
    </row>
    <row r="1580">
      <c r="N1580" s="122"/>
    </row>
    <row r="1581">
      <c r="N1581" s="122"/>
    </row>
    <row r="1582">
      <c r="N1582" s="122"/>
    </row>
    <row r="1583">
      <c r="N1583" s="122"/>
    </row>
    <row r="1584">
      <c r="N1584" s="122"/>
    </row>
    <row r="1585">
      <c r="N1585" s="122"/>
    </row>
    <row r="1586">
      <c r="N1586" s="122"/>
    </row>
    <row r="1587">
      <c r="N1587" s="122"/>
    </row>
    <row r="1588">
      <c r="N1588" s="122"/>
    </row>
    <row r="1589">
      <c r="N1589" s="122"/>
    </row>
    <row r="1590">
      <c r="N1590" s="122"/>
    </row>
    <row r="1591">
      <c r="N1591" s="122"/>
    </row>
    <row r="1592">
      <c r="N1592" s="122"/>
    </row>
    <row r="1593">
      <c r="N1593" s="122"/>
    </row>
    <row r="1594">
      <c r="N1594" s="122"/>
    </row>
    <row r="1595">
      <c r="N1595" s="122"/>
    </row>
    <row r="1596">
      <c r="N1596" s="122"/>
    </row>
    <row r="1597">
      <c r="N1597" s="122"/>
    </row>
    <row r="1598">
      <c r="N1598" s="122"/>
    </row>
    <row r="1599">
      <c r="N1599" s="122"/>
    </row>
    <row r="1600">
      <c r="N1600" s="122"/>
    </row>
    <row r="1601">
      <c r="N1601" s="122"/>
    </row>
    <row r="1602">
      <c r="N1602" s="122"/>
    </row>
    <row r="1603">
      <c r="N1603" s="122"/>
    </row>
    <row r="1604">
      <c r="N1604" s="122"/>
    </row>
    <row r="1605">
      <c r="N1605" s="122"/>
    </row>
    <row r="1606">
      <c r="N1606" s="122"/>
    </row>
    <row r="1607">
      <c r="N1607" s="122"/>
    </row>
    <row r="1608">
      <c r="N1608" s="122"/>
    </row>
    <row r="1609">
      <c r="N1609" s="122"/>
    </row>
    <row r="1610">
      <c r="N1610" s="122"/>
    </row>
    <row r="1611">
      <c r="N1611" s="122"/>
    </row>
    <row r="1612">
      <c r="N1612" s="122"/>
    </row>
    <row r="1613">
      <c r="N1613" s="122"/>
    </row>
    <row r="1614">
      <c r="N1614" s="122"/>
    </row>
    <row r="1615">
      <c r="N1615" s="122"/>
    </row>
    <row r="1616">
      <c r="N1616" s="122"/>
    </row>
    <row r="1617">
      <c r="N1617" s="122"/>
    </row>
    <row r="1618">
      <c r="N1618" s="122"/>
    </row>
    <row r="1619">
      <c r="N1619" s="122"/>
    </row>
    <row r="1620">
      <c r="N1620" s="122"/>
    </row>
    <row r="1621">
      <c r="N1621" s="122"/>
    </row>
    <row r="1622">
      <c r="N1622" s="122"/>
    </row>
    <row r="1623">
      <c r="N1623" s="122"/>
    </row>
    <row r="1624">
      <c r="N1624" s="122"/>
    </row>
    <row r="1625">
      <c r="N1625" s="122"/>
    </row>
    <row r="1626">
      <c r="N1626" s="122"/>
    </row>
    <row r="1627">
      <c r="N1627" s="122"/>
    </row>
    <row r="1628">
      <c r="N1628" s="122"/>
    </row>
    <row r="1629">
      <c r="N1629" s="122"/>
    </row>
    <row r="1630">
      <c r="N1630" s="122"/>
    </row>
    <row r="1631">
      <c r="N1631" s="122"/>
    </row>
    <row r="1632">
      <c r="N1632" s="122"/>
    </row>
    <row r="1633">
      <c r="N1633" s="122"/>
    </row>
    <row r="1634">
      <c r="N1634" s="122"/>
    </row>
    <row r="1635">
      <c r="N1635" s="122"/>
    </row>
    <row r="1636">
      <c r="N1636" s="122"/>
    </row>
    <row r="1637">
      <c r="N1637" s="122"/>
    </row>
    <row r="1638">
      <c r="N1638" s="122"/>
    </row>
    <row r="1639">
      <c r="N1639" s="122"/>
    </row>
    <row r="1640">
      <c r="N1640" s="122"/>
    </row>
    <row r="1641">
      <c r="N1641" s="122"/>
    </row>
    <row r="1642">
      <c r="N1642" s="122"/>
    </row>
    <row r="1643">
      <c r="N1643" s="122"/>
    </row>
    <row r="1644">
      <c r="N1644" s="122"/>
    </row>
    <row r="1645">
      <c r="N1645" s="122"/>
    </row>
    <row r="1646">
      <c r="N1646" s="122"/>
    </row>
    <row r="1647">
      <c r="N1647" s="122"/>
    </row>
    <row r="1648">
      <c r="N1648" s="122"/>
    </row>
    <row r="1649">
      <c r="N1649" s="122"/>
    </row>
    <row r="1650">
      <c r="N1650" s="122"/>
    </row>
    <row r="1651">
      <c r="N1651" s="122"/>
    </row>
    <row r="1652">
      <c r="N1652" s="122"/>
    </row>
    <row r="1653">
      <c r="N1653" s="122"/>
    </row>
    <row r="1654">
      <c r="N1654" s="122"/>
    </row>
    <row r="1655">
      <c r="N1655" s="122"/>
    </row>
    <row r="1656">
      <c r="N1656" s="122"/>
    </row>
    <row r="1657">
      <c r="N1657" s="122"/>
    </row>
    <row r="1658">
      <c r="N1658" s="122"/>
    </row>
    <row r="1659">
      <c r="N1659" s="122"/>
    </row>
    <row r="1660">
      <c r="N1660" s="122"/>
    </row>
    <row r="1661">
      <c r="N1661" s="122"/>
    </row>
    <row r="1662">
      <c r="N1662" s="122"/>
    </row>
    <row r="1663">
      <c r="N1663" s="122"/>
    </row>
    <row r="1664">
      <c r="N1664" s="122"/>
    </row>
    <row r="1665">
      <c r="N1665" s="122"/>
    </row>
    <row r="1666">
      <c r="N1666" s="122"/>
    </row>
    <row r="1667">
      <c r="N1667" s="122"/>
    </row>
    <row r="1668">
      <c r="N1668" s="122"/>
    </row>
    <row r="1669">
      <c r="N1669" s="122"/>
    </row>
    <row r="1670">
      <c r="N1670" s="122"/>
    </row>
    <row r="1671">
      <c r="N1671" s="122"/>
    </row>
    <row r="1672">
      <c r="N1672" s="122"/>
    </row>
    <row r="1673">
      <c r="N1673" s="122"/>
    </row>
    <row r="1674">
      <c r="N1674" s="122"/>
    </row>
    <row r="1675">
      <c r="N1675" s="122"/>
    </row>
    <row r="1676">
      <c r="N1676" s="122"/>
    </row>
    <row r="1677">
      <c r="N1677" s="122"/>
    </row>
    <row r="1678">
      <c r="N1678" s="122"/>
    </row>
    <row r="1679">
      <c r="N1679" s="122"/>
    </row>
    <row r="1680">
      <c r="N1680" s="122"/>
    </row>
    <row r="1681">
      <c r="N1681" s="122"/>
    </row>
    <row r="1682">
      <c r="N1682" s="122"/>
    </row>
    <row r="1683">
      <c r="N1683" s="122"/>
    </row>
    <row r="1684">
      <c r="N1684" s="122"/>
    </row>
    <row r="1685">
      <c r="N1685" s="122"/>
    </row>
    <row r="1686">
      <c r="N1686" s="122"/>
    </row>
    <row r="1687">
      <c r="N1687" s="122"/>
    </row>
    <row r="1688">
      <c r="N1688" s="122"/>
    </row>
    <row r="1689">
      <c r="N1689" s="122"/>
    </row>
    <row r="1690">
      <c r="N1690" s="122"/>
    </row>
    <row r="1691">
      <c r="N1691" s="122"/>
    </row>
    <row r="1692">
      <c r="N1692" s="122"/>
    </row>
    <row r="1693">
      <c r="N1693" s="122"/>
    </row>
    <row r="1694">
      <c r="N1694" s="122"/>
    </row>
    <row r="1695">
      <c r="N1695" s="122"/>
    </row>
    <row r="1696">
      <c r="N1696" s="122"/>
    </row>
    <row r="1697">
      <c r="N1697" s="122"/>
    </row>
    <row r="1698">
      <c r="N1698" s="122"/>
    </row>
    <row r="1699">
      <c r="N1699" s="122"/>
    </row>
    <row r="1700">
      <c r="N1700" s="122"/>
    </row>
    <row r="1701">
      <c r="N1701" s="122"/>
    </row>
    <row r="1702">
      <c r="N1702" s="122"/>
    </row>
    <row r="1703">
      <c r="N1703" s="122"/>
    </row>
    <row r="1704">
      <c r="N1704" s="122"/>
    </row>
    <row r="1705">
      <c r="N1705" s="122"/>
    </row>
    <row r="1706">
      <c r="N1706" s="122"/>
    </row>
    <row r="1707">
      <c r="N1707" s="122"/>
    </row>
    <row r="1708">
      <c r="N1708" s="122"/>
    </row>
    <row r="1709">
      <c r="N1709" s="122"/>
    </row>
    <row r="1710">
      <c r="N1710" s="122"/>
    </row>
    <row r="1711">
      <c r="N1711" s="122"/>
    </row>
    <row r="1712">
      <c r="N1712" s="122"/>
    </row>
    <row r="1713">
      <c r="N1713" s="122"/>
    </row>
    <row r="1714">
      <c r="N1714" s="122"/>
    </row>
    <row r="1715">
      <c r="N1715" s="122"/>
    </row>
    <row r="1716">
      <c r="N1716" s="122"/>
    </row>
    <row r="1717">
      <c r="N1717" s="122"/>
    </row>
    <row r="1718">
      <c r="N1718" s="122"/>
    </row>
    <row r="1719">
      <c r="N1719" s="122"/>
    </row>
    <row r="1720">
      <c r="N1720" s="122"/>
    </row>
    <row r="1721">
      <c r="N1721" s="122"/>
    </row>
    <row r="1722">
      <c r="N1722" s="122"/>
    </row>
    <row r="1723">
      <c r="N1723" s="122"/>
    </row>
    <row r="1724">
      <c r="N1724" s="122"/>
    </row>
    <row r="1725">
      <c r="N1725" s="122"/>
    </row>
    <row r="1726">
      <c r="N1726" s="122"/>
    </row>
    <row r="1727">
      <c r="N1727" s="122"/>
    </row>
    <row r="1728">
      <c r="N1728" s="122"/>
    </row>
    <row r="1729">
      <c r="N1729" s="122"/>
    </row>
    <row r="1730">
      <c r="N1730" s="122"/>
    </row>
    <row r="1731">
      <c r="N1731" s="122"/>
    </row>
    <row r="1732">
      <c r="N1732" s="122"/>
    </row>
    <row r="1733">
      <c r="N1733" s="122"/>
    </row>
    <row r="1734">
      <c r="N1734" s="122"/>
    </row>
    <row r="1735">
      <c r="N1735" s="122"/>
    </row>
    <row r="1736">
      <c r="N1736" s="122"/>
    </row>
    <row r="1737">
      <c r="N1737" s="122"/>
    </row>
    <row r="1738">
      <c r="N1738" s="122"/>
    </row>
    <row r="1739">
      <c r="N1739" s="122"/>
    </row>
    <row r="1740">
      <c r="N1740" s="122"/>
    </row>
    <row r="1741">
      <c r="N1741" s="122"/>
    </row>
    <row r="1742">
      <c r="N1742" s="122"/>
    </row>
    <row r="1743">
      <c r="N1743" s="122"/>
    </row>
    <row r="1744">
      <c r="N1744" s="122"/>
    </row>
    <row r="1745">
      <c r="N1745" s="122"/>
    </row>
    <row r="1746">
      <c r="N1746" s="122"/>
    </row>
    <row r="1747">
      <c r="N1747" s="122"/>
    </row>
    <row r="1748">
      <c r="N1748" s="122"/>
    </row>
    <row r="1749">
      <c r="N1749" s="122"/>
    </row>
    <row r="1750">
      <c r="N1750" s="122"/>
    </row>
    <row r="1751">
      <c r="N1751" s="122"/>
    </row>
    <row r="1752">
      <c r="N1752" s="122"/>
    </row>
    <row r="1753">
      <c r="N1753" s="122"/>
    </row>
    <row r="1754">
      <c r="N1754" s="122"/>
    </row>
    <row r="1755">
      <c r="N1755" s="122"/>
    </row>
    <row r="1756">
      <c r="N1756" s="122"/>
    </row>
    <row r="1757">
      <c r="N1757" s="122"/>
    </row>
    <row r="1758">
      <c r="N1758" s="122"/>
    </row>
    <row r="1759">
      <c r="N1759" s="122"/>
    </row>
    <row r="1760">
      <c r="N1760" s="122"/>
    </row>
    <row r="1761">
      <c r="N1761" s="122"/>
    </row>
    <row r="1762">
      <c r="N1762" s="122"/>
    </row>
    <row r="1763">
      <c r="N1763" s="122"/>
    </row>
    <row r="1764">
      <c r="N1764" s="122"/>
    </row>
    <row r="1765">
      <c r="N1765" s="122"/>
    </row>
    <row r="1766">
      <c r="N1766" s="122"/>
    </row>
    <row r="1767">
      <c r="N1767" s="122"/>
    </row>
    <row r="1768">
      <c r="N1768" s="122"/>
    </row>
    <row r="1769">
      <c r="N1769" s="122"/>
    </row>
    <row r="1770">
      <c r="N1770" s="122"/>
    </row>
    <row r="1771">
      <c r="N1771" s="122"/>
    </row>
    <row r="1772">
      <c r="N1772" s="122"/>
    </row>
    <row r="1773">
      <c r="N1773" s="122"/>
    </row>
    <row r="1774">
      <c r="N1774" s="122"/>
    </row>
    <row r="1775">
      <c r="N1775" s="122"/>
    </row>
    <row r="1776">
      <c r="N1776" s="122"/>
    </row>
    <row r="1777">
      <c r="N1777" s="122"/>
    </row>
    <row r="1778">
      <c r="N1778" s="122"/>
    </row>
    <row r="1779">
      <c r="N1779" s="122"/>
    </row>
    <row r="1780">
      <c r="N1780" s="122"/>
    </row>
    <row r="1781">
      <c r="N1781" s="122"/>
    </row>
    <row r="1782">
      <c r="N1782" s="122"/>
    </row>
    <row r="1783">
      <c r="N1783" s="122"/>
    </row>
    <row r="1784">
      <c r="N1784" s="122"/>
    </row>
    <row r="1785">
      <c r="N1785" s="122"/>
    </row>
    <row r="1786">
      <c r="N1786" s="122"/>
    </row>
    <row r="1787">
      <c r="N1787" s="122"/>
    </row>
    <row r="1788">
      <c r="N1788" s="122"/>
    </row>
    <row r="1789">
      <c r="N1789" s="122"/>
    </row>
    <row r="1790">
      <c r="N1790" s="122"/>
    </row>
    <row r="1791">
      <c r="N1791" s="122"/>
    </row>
    <row r="1792">
      <c r="N1792" s="122"/>
    </row>
    <row r="1793">
      <c r="N1793" s="122"/>
    </row>
    <row r="1794">
      <c r="N1794" s="122"/>
    </row>
    <row r="1795">
      <c r="N1795" s="122"/>
    </row>
    <row r="1796">
      <c r="N1796" s="122"/>
    </row>
    <row r="1797">
      <c r="N1797" s="122"/>
    </row>
    <row r="1798">
      <c r="N1798" s="122"/>
    </row>
    <row r="1799">
      <c r="N1799" s="122"/>
    </row>
    <row r="1800">
      <c r="N1800" s="122"/>
    </row>
    <row r="1801">
      <c r="N1801" s="122"/>
    </row>
    <row r="1802">
      <c r="N1802" s="122"/>
    </row>
    <row r="1803">
      <c r="N1803" s="122"/>
    </row>
    <row r="1804">
      <c r="N1804" s="122"/>
    </row>
    <row r="1805">
      <c r="N1805" s="122"/>
    </row>
    <row r="1806">
      <c r="N1806" s="122"/>
    </row>
    <row r="1807">
      <c r="N1807" s="122"/>
    </row>
    <row r="1808">
      <c r="N1808" s="122"/>
    </row>
    <row r="1809">
      <c r="N1809" s="122"/>
    </row>
    <row r="1810">
      <c r="N1810" s="122"/>
    </row>
    <row r="1811">
      <c r="N1811" s="122"/>
    </row>
    <row r="1812">
      <c r="N1812" s="122"/>
    </row>
    <row r="1813">
      <c r="N1813" s="122"/>
    </row>
    <row r="1814">
      <c r="N1814" s="122"/>
    </row>
    <row r="1815">
      <c r="N1815" s="122"/>
    </row>
    <row r="1816">
      <c r="N1816" s="122"/>
    </row>
    <row r="1817">
      <c r="N1817" s="122"/>
    </row>
    <row r="1818">
      <c r="N1818" s="122"/>
    </row>
    <row r="1819">
      <c r="N1819" s="122"/>
    </row>
    <row r="1820">
      <c r="N1820" s="122"/>
    </row>
    <row r="1821">
      <c r="N1821" s="122"/>
    </row>
    <row r="1822">
      <c r="N1822" s="122"/>
    </row>
    <row r="1823">
      <c r="N1823" s="122"/>
    </row>
    <row r="1824">
      <c r="N1824" s="122"/>
    </row>
    <row r="1825">
      <c r="N1825" s="122"/>
    </row>
    <row r="1826">
      <c r="N1826" s="122"/>
    </row>
    <row r="1827">
      <c r="N1827" s="122"/>
    </row>
    <row r="1828">
      <c r="N1828" s="122"/>
    </row>
    <row r="1829">
      <c r="N1829" s="122"/>
    </row>
    <row r="1830">
      <c r="N1830" s="122"/>
    </row>
    <row r="1831">
      <c r="N1831" s="122"/>
    </row>
    <row r="1832">
      <c r="N1832" s="122"/>
    </row>
    <row r="1833">
      <c r="N1833" s="122"/>
    </row>
    <row r="1834">
      <c r="N1834" s="122"/>
    </row>
    <row r="1835">
      <c r="N1835" s="122"/>
    </row>
    <row r="1836">
      <c r="N1836" s="122"/>
    </row>
    <row r="1837">
      <c r="N1837" s="122"/>
    </row>
    <row r="1838">
      <c r="N1838" s="122"/>
    </row>
    <row r="1839">
      <c r="N1839" s="122"/>
    </row>
    <row r="1840">
      <c r="N1840" s="122"/>
    </row>
    <row r="1841">
      <c r="N1841" s="122"/>
    </row>
    <row r="1842">
      <c r="N1842" s="122"/>
    </row>
    <row r="1843">
      <c r="N1843" s="122"/>
    </row>
    <row r="1844">
      <c r="N1844" s="122"/>
    </row>
    <row r="1845">
      <c r="N1845" s="122"/>
    </row>
    <row r="1846">
      <c r="N1846" s="122"/>
    </row>
    <row r="1847">
      <c r="N1847" s="122"/>
    </row>
    <row r="1848">
      <c r="N1848" s="122"/>
    </row>
    <row r="1849">
      <c r="N1849" s="122"/>
    </row>
    <row r="1850">
      <c r="N1850" s="122"/>
    </row>
    <row r="1851">
      <c r="N1851" s="122"/>
    </row>
    <row r="1852">
      <c r="N1852" s="122"/>
    </row>
    <row r="1853">
      <c r="N1853" s="122"/>
    </row>
    <row r="1854">
      <c r="N1854" s="122"/>
    </row>
    <row r="1855">
      <c r="N1855" s="122"/>
    </row>
    <row r="1856">
      <c r="N1856" s="122"/>
    </row>
    <row r="1857">
      <c r="N1857" s="122"/>
    </row>
    <row r="1858">
      <c r="N1858" s="122"/>
    </row>
    <row r="1859">
      <c r="N1859" s="122"/>
    </row>
    <row r="1860">
      <c r="N1860" s="122"/>
    </row>
    <row r="1861">
      <c r="N1861" s="122"/>
    </row>
    <row r="1862">
      <c r="N1862" s="122"/>
    </row>
    <row r="1863">
      <c r="N1863" s="122"/>
    </row>
    <row r="1864">
      <c r="N1864" s="122"/>
    </row>
    <row r="1865">
      <c r="N1865" s="122"/>
    </row>
    <row r="1866">
      <c r="N1866" s="122"/>
    </row>
    <row r="1867">
      <c r="N1867" s="122"/>
    </row>
    <row r="1868">
      <c r="N1868" s="122"/>
    </row>
    <row r="1869">
      <c r="N1869" s="122"/>
    </row>
    <row r="1870">
      <c r="N1870" s="122"/>
    </row>
    <row r="1871">
      <c r="N1871" s="122"/>
    </row>
    <row r="1872">
      <c r="N1872" s="122"/>
    </row>
    <row r="1873">
      <c r="N1873" s="122"/>
    </row>
    <row r="1874">
      <c r="N1874" s="122"/>
    </row>
    <row r="1875">
      <c r="N1875" s="122"/>
    </row>
    <row r="1876">
      <c r="N1876" s="122"/>
    </row>
    <row r="1877">
      <c r="N1877" s="122"/>
    </row>
    <row r="1878">
      <c r="N1878" s="122"/>
    </row>
    <row r="1879">
      <c r="N1879" s="122"/>
    </row>
    <row r="1880">
      <c r="N1880" s="122"/>
    </row>
    <row r="1881">
      <c r="N1881" s="122"/>
    </row>
    <row r="1882">
      <c r="N1882" s="122"/>
    </row>
    <row r="1883">
      <c r="N1883" s="122"/>
    </row>
    <row r="1884">
      <c r="N1884" s="122"/>
    </row>
    <row r="1885">
      <c r="N1885" s="122"/>
    </row>
    <row r="1886">
      <c r="N1886" s="122"/>
    </row>
    <row r="1887">
      <c r="N1887" s="122"/>
    </row>
    <row r="1888">
      <c r="N1888" s="122"/>
    </row>
    <row r="1889">
      <c r="N1889" s="122"/>
    </row>
    <row r="1890">
      <c r="N1890" s="122"/>
    </row>
    <row r="1891">
      <c r="N1891" s="122"/>
    </row>
    <row r="1892">
      <c r="N1892" s="122"/>
    </row>
    <row r="1893">
      <c r="N1893" s="122"/>
    </row>
    <row r="1894">
      <c r="N1894" s="122"/>
    </row>
    <row r="1895">
      <c r="N1895" s="122"/>
    </row>
    <row r="1896">
      <c r="N1896" s="122"/>
    </row>
    <row r="1897">
      <c r="N1897" s="122"/>
    </row>
    <row r="1898">
      <c r="N1898" s="122"/>
    </row>
    <row r="1899">
      <c r="N1899" s="122"/>
    </row>
    <row r="1900">
      <c r="N1900" s="122"/>
    </row>
    <row r="1901">
      <c r="N1901" s="122"/>
    </row>
    <row r="1902">
      <c r="N1902" s="122"/>
    </row>
    <row r="1903">
      <c r="N1903" s="122"/>
    </row>
    <row r="1904">
      <c r="N1904" s="122"/>
    </row>
    <row r="1905">
      <c r="N1905" s="122"/>
    </row>
    <row r="1906">
      <c r="N1906" s="122"/>
    </row>
    <row r="1907">
      <c r="N1907" s="122"/>
    </row>
    <row r="1908">
      <c r="N1908" s="122"/>
    </row>
    <row r="1909">
      <c r="N1909" s="122"/>
    </row>
    <row r="1910">
      <c r="N1910" s="122"/>
    </row>
    <row r="1911">
      <c r="N1911" s="122"/>
    </row>
    <row r="1912">
      <c r="N1912" s="122"/>
    </row>
    <row r="1913">
      <c r="N1913" s="122"/>
    </row>
    <row r="1914">
      <c r="N1914" s="122"/>
    </row>
    <row r="1915">
      <c r="N1915" s="122"/>
    </row>
    <row r="1916">
      <c r="N1916" s="122"/>
    </row>
    <row r="1917">
      <c r="N1917" s="122"/>
    </row>
    <row r="1918">
      <c r="N1918" s="122"/>
    </row>
    <row r="1919">
      <c r="N1919" s="122"/>
    </row>
    <row r="1920">
      <c r="N1920" s="122"/>
    </row>
    <row r="1921">
      <c r="N1921" s="122"/>
    </row>
    <row r="1922">
      <c r="N1922" s="122"/>
    </row>
    <row r="1923">
      <c r="N1923" s="122"/>
    </row>
    <row r="1924">
      <c r="N1924" s="122"/>
    </row>
    <row r="1925">
      <c r="N1925" s="122"/>
    </row>
    <row r="1926">
      <c r="N1926" s="122"/>
    </row>
    <row r="1927">
      <c r="N1927" s="122"/>
    </row>
    <row r="1928">
      <c r="N1928" s="122"/>
    </row>
    <row r="1929">
      <c r="N1929" s="122"/>
    </row>
    <row r="1930">
      <c r="N1930" s="122"/>
    </row>
    <row r="1931">
      <c r="N1931" s="122"/>
    </row>
    <row r="1932">
      <c r="N1932" s="122"/>
    </row>
    <row r="1933">
      <c r="N1933" s="122"/>
    </row>
    <row r="1934">
      <c r="N1934" s="122"/>
    </row>
    <row r="1935">
      <c r="N1935" s="122"/>
    </row>
    <row r="1936">
      <c r="N1936" s="122"/>
    </row>
    <row r="1937">
      <c r="N1937" s="122"/>
    </row>
    <row r="1938">
      <c r="N1938" s="122"/>
    </row>
    <row r="1939">
      <c r="N1939" s="122"/>
    </row>
    <row r="1940">
      <c r="N1940" s="122"/>
    </row>
    <row r="1941">
      <c r="N1941" s="122"/>
    </row>
    <row r="1942">
      <c r="N1942" s="122"/>
    </row>
    <row r="1943">
      <c r="N1943" s="122"/>
    </row>
    <row r="1944">
      <c r="N1944" s="122"/>
    </row>
    <row r="1945">
      <c r="N1945" s="122"/>
    </row>
    <row r="1946">
      <c r="N1946" s="122"/>
    </row>
    <row r="1947">
      <c r="N1947" s="122"/>
    </row>
    <row r="1948">
      <c r="N1948" s="122"/>
    </row>
    <row r="1949">
      <c r="N1949" s="122"/>
    </row>
    <row r="1950">
      <c r="N1950" s="122"/>
    </row>
    <row r="1951">
      <c r="N1951" s="122"/>
    </row>
    <row r="1952">
      <c r="N1952" s="122"/>
    </row>
    <row r="1953">
      <c r="N1953" s="122"/>
    </row>
    <row r="1954">
      <c r="N1954" s="122"/>
    </row>
    <row r="1955">
      <c r="N1955" s="122"/>
    </row>
    <row r="1956">
      <c r="N1956" s="122"/>
    </row>
    <row r="1957">
      <c r="N1957" s="122"/>
    </row>
    <row r="1958">
      <c r="N1958" s="122"/>
    </row>
    <row r="1959">
      <c r="N1959" s="122"/>
    </row>
    <row r="1960">
      <c r="N1960" s="122"/>
    </row>
    <row r="1961">
      <c r="N1961" s="122"/>
    </row>
    <row r="1962">
      <c r="N1962" s="122"/>
    </row>
    <row r="1963">
      <c r="N1963" s="122"/>
    </row>
    <row r="1964">
      <c r="N1964" s="122"/>
    </row>
    <row r="1965">
      <c r="N1965" s="122"/>
    </row>
    <row r="1966">
      <c r="N1966" s="122"/>
    </row>
    <row r="1967">
      <c r="N1967" s="122"/>
    </row>
    <row r="1968">
      <c r="N1968" s="122"/>
    </row>
    <row r="1969">
      <c r="N1969" s="122"/>
    </row>
    <row r="1970">
      <c r="N1970" s="122"/>
    </row>
    <row r="1971">
      <c r="N1971" s="122"/>
    </row>
  </sheetData>
  <mergeCells count="370">
    <mergeCell ref="N35:N44"/>
    <mergeCell ref="F46:N46"/>
    <mergeCell ref="F59:N59"/>
    <mergeCell ref="F72:N72"/>
    <mergeCell ref="F85:N85"/>
    <mergeCell ref="F98:N98"/>
    <mergeCell ref="F111:N111"/>
    <mergeCell ref="L2:N2"/>
    <mergeCell ref="N5:N19"/>
    <mergeCell ref="N22:N31"/>
    <mergeCell ref="N48:N57"/>
    <mergeCell ref="N61:N70"/>
    <mergeCell ref="N74:N83"/>
    <mergeCell ref="N87:N96"/>
    <mergeCell ref="A2:D2"/>
    <mergeCell ref="E2:K2"/>
    <mergeCell ref="A4:A20"/>
    <mergeCell ref="B4:C20"/>
    <mergeCell ref="D4:D20"/>
    <mergeCell ref="E4:E19"/>
    <mergeCell ref="A1:N1"/>
    <mergeCell ref="A21:A33"/>
    <mergeCell ref="B21:C33"/>
    <mergeCell ref="D21:D33"/>
    <mergeCell ref="E21:E31"/>
    <mergeCell ref="F33:N33"/>
    <mergeCell ref="A34:A46"/>
    <mergeCell ref="B34:C46"/>
    <mergeCell ref="A60:A72"/>
    <mergeCell ref="A73:A85"/>
    <mergeCell ref="A86:A98"/>
    <mergeCell ref="A99:A111"/>
    <mergeCell ref="A112:A124"/>
    <mergeCell ref="A125:A137"/>
    <mergeCell ref="A138:A150"/>
    <mergeCell ref="A151:A163"/>
    <mergeCell ref="D34:D46"/>
    <mergeCell ref="E34:E44"/>
    <mergeCell ref="A47:A59"/>
    <mergeCell ref="B47:C59"/>
    <mergeCell ref="D47:D59"/>
    <mergeCell ref="E47:E57"/>
    <mergeCell ref="E60:E70"/>
    <mergeCell ref="B60:C72"/>
    <mergeCell ref="D60:D72"/>
    <mergeCell ref="B73:C85"/>
    <mergeCell ref="D73:D85"/>
    <mergeCell ref="E73:E83"/>
    <mergeCell ref="D86:D98"/>
    <mergeCell ref="E86:E96"/>
    <mergeCell ref="B86:C98"/>
    <mergeCell ref="B99:C111"/>
    <mergeCell ref="D99:D111"/>
    <mergeCell ref="E99:E109"/>
    <mergeCell ref="B112:C124"/>
    <mergeCell ref="D112:D124"/>
    <mergeCell ref="E112:E122"/>
    <mergeCell ref="N287:N293"/>
    <mergeCell ref="N297:N303"/>
    <mergeCell ref="A513:A545"/>
    <mergeCell ref="A546:A555"/>
    <mergeCell ref="A503:A512"/>
    <mergeCell ref="B503:C512"/>
    <mergeCell ref="D503:D512"/>
    <mergeCell ref="E503:E510"/>
    <mergeCell ref="B513:C545"/>
    <mergeCell ref="D513:D545"/>
    <mergeCell ref="E513:E540"/>
    <mergeCell ref="E546:E553"/>
    <mergeCell ref="B566:C575"/>
    <mergeCell ref="D566:D575"/>
    <mergeCell ref="B546:C555"/>
    <mergeCell ref="D546:D555"/>
    <mergeCell ref="A556:A565"/>
    <mergeCell ref="B556:C565"/>
    <mergeCell ref="D556:D565"/>
    <mergeCell ref="E556:E563"/>
    <mergeCell ref="E566:E573"/>
    <mergeCell ref="D586:D595"/>
    <mergeCell ref="E586:E593"/>
    <mergeCell ref="A566:A575"/>
    <mergeCell ref="A576:A585"/>
    <mergeCell ref="B576:C585"/>
    <mergeCell ref="D576:D585"/>
    <mergeCell ref="E576:E583"/>
    <mergeCell ref="A586:A595"/>
    <mergeCell ref="B586:C595"/>
    <mergeCell ref="D151:D163"/>
    <mergeCell ref="E151:E161"/>
    <mergeCell ref="B125:C137"/>
    <mergeCell ref="D125:D137"/>
    <mergeCell ref="E125:E135"/>
    <mergeCell ref="B138:C150"/>
    <mergeCell ref="D138:D150"/>
    <mergeCell ref="E138:E148"/>
    <mergeCell ref="B151:C163"/>
    <mergeCell ref="A164:A176"/>
    <mergeCell ref="B164:C176"/>
    <mergeCell ref="D164:D176"/>
    <mergeCell ref="E164:E174"/>
    <mergeCell ref="B177:C186"/>
    <mergeCell ref="D177:D186"/>
    <mergeCell ref="E177:E184"/>
    <mergeCell ref="D197:D215"/>
    <mergeCell ref="E197:E213"/>
    <mergeCell ref="A177:A186"/>
    <mergeCell ref="A187:A196"/>
    <mergeCell ref="B187:C196"/>
    <mergeCell ref="D187:D196"/>
    <mergeCell ref="E187:E194"/>
    <mergeCell ref="A197:A215"/>
    <mergeCell ref="B197:C215"/>
    <mergeCell ref="D246:D255"/>
    <mergeCell ref="E246:E253"/>
    <mergeCell ref="A606:A615"/>
    <mergeCell ref="A616:A625"/>
    <mergeCell ref="B616:C625"/>
    <mergeCell ref="D616:D625"/>
    <mergeCell ref="E616:E623"/>
    <mergeCell ref="A596:A605"/>
    <mergeCell ref="B596:C605"/>
    <mergeCell ref="D596:D605"/>
    <mergeCell ref="E596:E603"/>
    <mergeCell ref="B606:C615"/>
    <mergeCell ref="D606:D615"/>
    <mergeCell ref="E606:E613"/>
    <mergeCell ref="A256:A265"/>
    <mergeCell ref="B256:C265"/>
    <mergeCell ref="D256:D265"/>
    <mergeCell ref="E256:E263"/>
    <mergeCell ref="B266:C275"/>
    <mergeCell ref="D266:D275"/>
    <mergeCell ref="E266:E273"/>
    <mergeCell ref="A266:A275"/>
    <mergeCell ref="A276:A285"/>
    <mergeCell ref="B276:C285"/>
    <mergeCell ref="D276:D285"/>
    <mergeCell ref="E276:E283"/>
    <mergeCell ref="A286:A295"/>
    <mergeCell ref="B286:C295"/>
    <mergeCell ref="A336:A352"/>
    <mergeCell ref="B336:C352"/>
    <mergeCell ref="D336:D352"/>
    <mergeCell ref="E336:E350"/>
    <mergeCell ref="B353:C362"/>
    <mergeCell ref="D353:D362"/>
    <mergeCell ref="E353:E360"/>
    <mergeCell ref="A353:A362"/>
    <mergeCell ref="A363:A372"/>
    <mergeCell ref="B363:C372"/>
    <mergeCell ref="D363:D372"/>
    <mergeCell ref="E363:E370"/>
    <mergeCell ref="A373:A382"/>
    <mergeCell ref="B373:C382"/>
    <mergeCell ref="B393:C402"/>
    <mergeCell ref="D393:D402"/>
    <mergeCell ref="D373:D382"/>
    <mergeCell ref="E373:E380"/>
    <mergeCell ref="A383:A392"/>
    <mergeCell ref="B383:C392"/>
    <mergeCell ref="D383:D392"/>
    <mergeCell ref="E383:E390"/>
    <mergeCell ref="E393:E400"/>
    <mergeCell ref="D413:D422"/>
    <mergeCell ref="E413:E420"/>
    <mergeCell ref="A393:A402"/>
    <mergeCell ref="A403:A412"/>
    <mergeCell ref="B403:C412"/>
    <mergeCell ref="D403:D412"/>
    <mergeCell ref="E403:E410"/>
    <mergeCell ref="A413:A422"/>
    <mergeCell ref="B413:C422"/>
    <mergeCell ref="A423:A432"/>
    <mergeCell ref="B423:C432"/>
    <mergeCell ref="D423:D432"/>
    <mergeCell ref="E423:E430"/>
    <mergeCell ref="B433:C442"/>
    <mergeCell ref="D433:D442"/>
    <mergeCell ref="E433:E440"/>
    <mergeCell ref="A433:A442"/>
    <mergeCell ref="A443:A452"/>
    <mergeCell ref="B443:C452"/>
    <mergeCell ref="D443:D452"/>
    <mergeCell ref="E443:E450"/>
    <mergeCell ref="A453:A462"/>
    <mergeCell ref="B453:C462"/>
    <mergeCell ref="B473:C482"/>
    <mergeCell ref="D473:D482"/>
    <mergeCell ref="D453:D462"/>
    <mergeCell ref="E453:E460"/>
    <mergeCell ref="A463:A472"/>
    <mergeCell ref="B463:C472"/>
    <mergeCell ref="D463:D472"/>
    <mergeCell ref="E463:E470"/>
    <mergeCell ref="E473:E480"/>
    <mergeCell ref="D493:D502"/>
    <mergeCell ref="E493:E500"/>
    <mergeCell ref="A473:A482"/>
    <mergeCell ref="A483:A492"/>
    <mergeCell ref="B483:C492"/>
    <mergeCell ref="D483:D492"/>
    <mergeCell ref="E483:E490"/>
    <mergeCell ref="A493:A502"/>
    <mergeCell ref="B493:C502"/>
    <mergeCell ref="F614:H614"/>
    <mergeCell ref="F624:H624"/>
    <mergeCell ref="F625:N625"/>
    <mergeCell ref="F584:H584"/>
    <mergeCell ref="F585:N585"/>
    <mergeCell ref="F594:H594"/>
    <mergeCell ref="F595:N595"/>
    <mergeCell ref="F604:H604"/>
    <mergeCell ref="F605:N605"/>
    <mergeCell ref="F615:N615"/>
    <mergeCell ref="F401:H401"/>
    <mergeCell ref="F402:N402"/>
    <mergeCell ref="F411:H411"/>
    <mergeCell ref="F412:N412"/>
    <mergeCell ref="F421:H421"/>
    <mergeCell ref="F422:N422"/>
    <mergeCell ref="F432:N432"/>
    <mergeCell ref="F431:H431"/>
    <mergeCell ref="F441:H441"/>
    <mergeCell ref="F442:N442"/>
    <mergeCell ref="N444:N450"/>
    <mergeCell ref="F451:H451"/>
    <mergeCell ref="F452:N452"/>
    <mergeCell ref="N454:N460"/>
    <mergeCell ref="F461:H461"/>
    <mergeCell ref="F462:N462"/>
    <mergeCell ref="N464:N470"/>
    <mergeCell ref="F471:H471"/>
    <mergeCell ref="F472:N472"/>
    <mergeCell ref="F481:H481"/>
    <mergeCell ref="F482:N482"/>
    <mergeCell ref="F491:H491"/>
    <mergeCell ref="F492:N492"/>
    <mergeCell ref="F501:H501"/>
    <mergeCell ref="F502:N502"/>
    <mergeCell ref="F511:H511"/>
    <mergeCell ref="F512:N512"/>
    <mergeCell ref="F545:N545"/>
    <mergeCell ref="N567:N573"/>
    <mergeCell ref="N577:N583"/>
    <mergeCell ref="N587:N593"/>
    <mergeCell ref="N597:N603"/>
    <mergeCell ref="N607:N613"/>
    <mergeCell ref="N617:N623"/>
    <mergeCell ref="N474:N480"/>
    <mergeCell ref="N484:N490"/>
    <mergeCell ref="N494:N500"/>
    <mergeCell ref="N504:N510"/>
    <mergeCell ref="N514:N540"/>
    <mergeCell ref="N547:N553"/>
    <mergeCell ref="N557:N563"/>
    <mergeCell ref="F544:H544"/>
    <mergeCell ref="F554:H554"/>
    <mergeCell ref="F555:N555"/>
    <mergeCell ref="F564:H564"/>
    <mergeCell ref="F565:N565"/>
    <mergeCell ref="F574:H574"/>
    <mergeCell ref="F575:N575"/>
    <mergeCell ref="N100:N109"/>
    <mergeCell ref="N113:N122"/>
    <mergeCell ref="F124:N124"/>
    <mergeCell ref="N126:N135"/>
    <mergeCell ref="F137:N137"/>
    <mergeCell ref="N139:N148"/>
    <mergeCell ref="F150:N150"/>
    <mergeCell ref="N152:N161"/>
    <mergeCell ref="F163:N163"/>
    <mergeCell ref="N165:N174"/>
    <mergeCell ref="F176:N176"/>
    <mergeCell ref="N178:N184"/>
    <mergeCell ref="F186:N186"/>
    <mergeCell ref="F196:N196"/>
    <mergeCell ref="F224:H224"/>
    <mergeCell ref="F234:H234"/>
    <mergeCell ref="N188:N194"/>
    <mergeCell ref="N198:N213"/>
    <mergeCell ref="F214:H214"/>
    <mergeCell ref="F215:N215"/>
    <mergeCell ref="N217:N223"/>
    <mergeCell ref="F225:N225"/>
    <mergeCell ref="F235:N235"/>
    <mergeCell ref="A216:A225"/>
    <mergeCell ref="B216:C225"/>
    <mergeCell ref="D216:D225"/>
    <mergeCell ref="E216:E223"/>
    <mergeCell ref="B226:C235"/>
    <mergeCell ref="D226:D235"/>
    <mergeCell ref="E226:E233"/>
    <mergeCell ref="A226:A235"/>
    <mergeCell ref="A236:A245"/>
    <mergeCell ref="B236:C245"/>
    <mergeCell ref="D236:D245"/>
    <mergeCell ref="E236:E243"/>
    <mergeCell ref="A246:A255"/>
    <mergeCell ref="B246:C255"/>
    <mergeCell ref="F254:H254"/>
    <mergeCell ref="F264:H264"/>
    <mergeCell ref="N227:N233"/>
    <mergeCell ref="N237:N243"/>
    <mergeCell ref="F244:H244"/>
    <mergeCell ref="F245:N245"/>
    <mergeCell ref="N247:N253"/>
    <mergeCell ref="F255:N255"/>
    <mergeCell ref="F265:N265"/>
    <mergeCell ref="B306:C315"/>
    <mergeCell ref="D306:D315"/>
    <mergeCell ref="D286:D295"/>
    <mergeCell ref="E286:E293"/>
    <mergeCell ref="A296:A305"/>
    <mergeCell ref="B296:C305"/>
    <mergeCell ref="D296:D305"/>
    <mergeCell ref="E296:E303"/>
    <mergeCell ref="E306:E313"/>
    <mergeCell ref="D326:D335"/>
    <mergeCell ref="E326:E333"/>
    <mergeCell ref="A306:A315"/>
    <mergeCell ref="A316:A325"/>
    <mergeCell ref="B316:C325"/>
    <mergeCell ref="D316:D325"/>
    <mergeCell ref="E316:E323"/>
    <mergeCell ref="A326:A335"/>
    <mergeCell ref="B326:C335"/>
    <mergeCell ref="F315:N315"/>
    <mergeCell ref="F325:N325"/>
    <mergeCell ref="F335:N335"/>
    <mergeCell ref="N257:N263"/>
    <mergeCell ref="N267:N273"/>
    <mergeCell ref="F274:H274"/>
    <mergeCell ref="F275:N275"/>
    <mergeCell ref="F285:N285"/>
    <mergeCell ref="F295:N295"/>
    <mergeCell ref="F305:N305"/>
    <mergeCell ref="F339:H339"/>
    <mergeCell ref="F340:H340"/>
    <mergeCell ref="F341:H341"/>
    <mergeCell ref="F351:H351"/>
    <mergeCell ref="F352:N352"/>
    <mergeCell ref="F362:N362"/>
    <mergeCell ref="F284:H284"/>
    <mergeCell ref="F294:H294"/>
    <mergeCell ref="F304:H304"/>
    <mergeCell ref="F314:H314"/>
    <mergeCell ref="F324:H324"/>
    <mergeCell ref="F334:H334"/>
    <mergeCell ref="F338:H338"/>
    <mergeCell ref="N374:N380"/>
    <mergeCell ref="N384:N390"/>
    <mergeCell ref="N394:N400"/>
    <mergeCell ref="N404:N410"/>
    <mergeCell ref="N414:N420"/>
    <mergeCell ref="N424:N430"/>
    <mergeCell ref="N434:N440"/>
    <mergeCell ref="N277:N283"/>
    <mergeCell ref="N307:N313"/>
    <mergeCell ref="N317:N323"/>
    <mergeCell ref="N327:N333"/>
    <mergeCell ref="N337:N350"/>
    <mergeCell ref="N354:N360"/>
    <mergeCell ref="N364:N370"/>
    <mergeCell ref="F361:H361"/>
    <mergeCell ref="F371:H371"/>
    <mergeCell ref="F372:N372"/>
    <mergeCell ref="F381:H381"/>
    <mergeCell ref="F382:N382"/>
    <mergeCell ref="F391:H391"/>
    <mergeCell ref="F392:N392"/>
  </mergeCells>
  <dataValidations>
    <dataValidation type="custom" allowBlank="1" showDropDown="1" showInputMessage="1" showErrorMessage="1" prompt="資料重複" sqref="A626:A1499">
      <formula1>COUNTIF($A$626:A1539, A626)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9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